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ndy/Documents/Documents/RHS/RAB/"/>
    </mc:Choice>
  </mc:AlternateContent>
  <xr:revisionPtr revIDLastSave="0" documentId="8_{4DD7BC92-1687-3848-B241-4E11F7BDB00E}" xr6:coauthVersionLast="47" xr6:coauthVersionMax="47" xr10:uidLastSave="{00000000-0000-0000-0000-000000000000}"/>
  <bookViews>
    <workbookView xWindow="0" yWindow="740" windowWidth="23260" windowHeight="12460" xr2:uid="{A1B9AEBA-B155-4509-9618-C782F76EACEE}"/>
  </bookViews>
  <sheets>
    <sheet name="General Account July 22-June 23" sheetId="1" r:id="rId1"/>
    <sheet name="Team Accounts July 22- June 23" sheetId="2" r:id="rId2"/>
  </sheets>
  <externalReferences>
    <externalReference r:id="rId3"/>
  </externalReferences>
  <definedNames>
    <definedName name="_xlnm.Print_Area" localSheetId="0">'General Account July 22-June 23'!$A$1:$J$49</definedName>
    <definedName name="_xlnm.Print_Titles" localSheetId="1">'Team Accounts July 22- June 23'!$A:$A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AG20" i="2"/>
  <c r="E5" i="2"/>
  <c r="H5" i="2" s="1"/>
  <c r="AJ5" i="2"/>
  <c r="E6" i="2"/>
  <c r="H6" i="2" s="1"/>
  <c r="K6" i="2" s="1"/>
  <c r="N6" i="2" s="1"/>
  <c r="Q6" i="2" s="1"/>
  <c r="T6" i="2" s="1"/>
  <c r="W6" i="2" s="1"/>
  <c r="Z6" i="2" s="1"/>
  <c r="AC6" i="2" s="1"/>
  <c r="AF6" i="2" s="1"/>
  <c r="AI6" i="2" s="1"/>
  <c r="AK6" i="2" s="1"/>
  <c r="F6" i="2"/>
  <c r="F32" i="2" s="1"/>
  <c r="G6" i="2"/>
  <c r="G32" i="2" s="1"/>
  <c r="J6" i="2"/>
  <c r="L6" i="2"/>
  <c r="M6" i="2"/>
  <c r="O6" i="2"/>
  <c r="P6" i="2"/>
  <c r="AB6" i="2"/>
  <c r="AB32" i="2" s="1"/>
  <c r="AD6" i="2"/>
  <c r="AD32" i="2" s="1"/>
  <c r="AG6" i="2"/>
  <c r="AJ6" i="2"/>
  <c r="E7" i="2"/>
  <c r="H7" i="2"/>
  <c r="K7" i="2"/>
  <c r="N7" i="2"/>
  <c r="Q7" i="2" s="1"/>
  <c r="T7" i="2" s="1"/>
  <c r="W7" i="2" s="1"/>
  <c r="Z7" i="2" s="1"/>
  <c r="AC7" i="2" s="1"/>
  <c r="AF7" i="2" s="1"/>
  <c r="AI7" i="2" s="1"/>
  <c r="AK7" i="2" s="1"/>
  <c r="U7" i="2"/>
  <c r="V7" i="2"/>
  <c r="X7" i="2"/>
  <c r="AD7" i="2"/>
  <c r="AJ7" i="2"/>
  <c r="E8" i="2"/>
  <c r="H8" i="2"/>
  <c r="K8" i="2"/>
  <c r="N8" i="2" s="1"/>
  <c r="Q8" i="2" s="1"/>
  <c r="T8" i="2" s="1"/>
  <c r="W8" i="2" s="1"/>
  <c r="Z8" i="2" s="1"/>
  <c r="AC8" i="2" s="1"/>
  <c r="AF8" i="2" s="1"/>
  <c r="AI8" i="2" s="1"/>
  <c r="AK8" i="2" s="1"/>
  <c r="AJ8" i="2"/>
  <c r="C9" i="2"/>
  <c r="E9" i="2"/>
  <c r="F9" i="2"/>
  <c r="H9" i="2"/>
  <c r="K9" i="2" s="1"/>
  <c r="N9" i="2" s="1"/>
  <c r="Q9" i="2" s="1"/>
  <c r="T9" i="2" s="1"/>
  <c r="W9" i="2" s="1"/>
  <c r="Z9" i="2" s="1"/>
  <c r="AC9" i="2" s="1"/>
  <c r="AF9" i="2" s="1"/>
  <c r="AI9" i="2" s="1"/>
  <c r="AK9" i="2" s="1"/>
  <c r="I9" i="2"/>
  <c r="I32" i="2" s="1"/>
  <c r="J9" i="2"/>
  <c r="J32" i="2" s="1"/>
  <c r="L9" i="2"/>
  <c r="M9" i="2"/>
  <c r="AE9" i="2"/>
  <c r="AH9" i="2"/>
  <c r="AJ9" i="2"/>
  <c r="AJ32" i="2" s="1"/>
  <c r="E10" i="2"/>
  <c r="H10" i="2" s="1"/>
  <c r="K10" i="2" s="1"/>
  <c r="N10" i="2" s="1"/>
  <c r="Q10" i="2" s="1"/>
  <c r="T10" i="2" s="1"/>
  <c r="W10" i="2" s="1"/>
  <c r="Z10" i="2" s="1"/>
  <c r="AC10" i="2" s="1"/>
  <c r="AF10" i="2" s="1"/>
  <c r="AI10" i="2" s="1"/>
  <c r="AK10" i="2" s="1"/>
  <c r="AG10" i="2"/>
  <c r="AJ10" i="2"/>
  <c r="E11" i="2"/>
  <c r="H11" i="2"/>
  <c r="K11" i="2"/>
  <c r="N11" i="2" s="1"/>
  <c r="Q11" i="2" s="1"/>
  <c r="T11" i="2" s="1"/>
  <c r="W11" i="2" s="1"/>
  <c r="Z11" i="2" s="1"/>
  <c r="AC11" i="2" s="1"/>
  <c r="AF11" i="2" s="1"/>
  <c r="AI11" i="2" s="1"/>
  <c r="AK11" i="2" s="1"/>
  <c r="R11" i="2"/>
  <c r="U11" i="2"/>
  <c r="V11" i="2"/>
  <c r="X11" i="2"/>
  <c r="Y11" i="2"/>
  <c r="AB11" i="2"/>
  <c r="AE11" i="2"/>
  <c r="AH11" i="2"/>
  <c r="AH32" i="2" s="1"/>
  <c r="AJ11" i="2"/>
  <c r="E12" i="2"/>
  <c r="H12" i="2"/>
  <c r="K12" i="2"/>
  <c r="N12" i="2"/>
  <c r="Q12" i="2"/>
  <c r="T12" i="2"/>
  <c r="W12" i="2" s="1"/>
  <c r="Z12" i="2" s="1"/>
  <c r="AC12" i="2" s="1"/>
  <c r="AF12" i="2" s="1"/>
  <c r="AI12" i="2" s="1"/>
  <c r="AK12" i="2" s="1"/>
  <c r="AE12" i="2"/>
  <c r="AH12" i="2"/>
  <c r="AJ12" i="2"/>
  <c r="E13" i="2"/>
  <c r="H13" i="2"/>
  <c r="K13" i="2"/>
  <c r="N13" i="2"/>
  <c r="Q13" i="2"/>
  <c r="S13" i="2"/>
  <c r="S32" i="2" s="1"/>
  <c r="T13" i="2"/>
  <c r="W13" i="2" s="1"/>
  <c r="Z13" i="2" s="1"/>
  <c r="AC13" i="2" s="1"/>
  <c r="AF13" i="2" s="1"/>
  <c r="AI13" i="2" s="1"/>
  <c r="AK13" i="2" s="1"/>
  <c r="AJ13" i="2"/>
  <c r="D14" i="2"/>
  <c r="E14" i="2" s="1"/>
  <c r="H14" i="2" s="1"/>
  <c r="K14" i="2" s="1"/>
  <c r="N14" i="2" s="1"/>
  <c r="Q14" i="2" s="1"/>
  <c r="T14" i="2" s="1"/>
  <c r="W14" i="2" s="1"/>
  <c r="Z14" i="2" s="1"/>
  <c r="AC14" i="2" s="1"/>
  <c r="AF14" i="2" s="1"/>
  <c r="AI14" i="2" s="1"/>
  <c r="AK14" i="2" s="1"/>
  <c r="J14" i="2"/>
  <c r="M14" i="2"/>
  <c r="P14" i="2"/>
  <c r="S14" i="2"/>
  <c r="V14" i="2"/>
  <c r="Y14" i="2"/>
  <c r="Y32" i="2" s="1"/>
  <c r="AA14" i="2"/>
  <c r="AA32" i="2" s="1"/>
  <c r="AB14" i="2"/>
  <c r="AE14" i="2"/>
  <c r="AJ14" i="2"/>
  <c r="D15" i="2"/>
  <c r="E15" i="2"/>
  <c r="H15" i="2" s="1"/>
  <c r="K15" i="2" s="1"/>
  <c r="N15" i="2" s="1"/>
  <c r="Q15" i="2" s="1"/>
  <c r="T15" i="2" s="1"/>
  <c r="W15" i="2" s="1"/>
  <c r="Z15" i="2" s="1"/>
  <c r="AC15" i="2" s="1"/>
  <c r="AF15" i="2" s="1"/>
  <c r="AI15" i="2" s="1"/>
  <c r="AK15" i="2" s="1"/>
  <c r="I15" i="2"/>
  <c r="J15" i="2"/>
  <c r="L15" i="2"/>
  <c r="L32" i="2" s="1"/>
  <c r="M15" i="2"/>
  <c r="M32" i="2" s="1"/>
  <c r="Y15" i="2"/>
  <c r="AB15" i="2"/>
  <c r="AD15" i="2"/>
  <c r="AE15" i="2"/>
  <c r="AE32" i="2" s="1"/>
  <c r="AH15" i="2"/>
  <c r="AJ15" i="2"/>
  <c r="E16" i="2"/>
  <c r="H16" i="2"/>
  <c r="K16" i="2"/>
  <c r="N16" i="2" s="1"/>
  <c r="Q16" i="2" s="1"/>
  <c r="T16" i="2" s="1"/>
  <c r="W16" i="2" s="1"/>
  <c r="Z16" i="2" s="1"/>
  <c r="AC16" i="2" s="1"/>
  <c r="AF16" i="2" s="1"/>
  <c r="AI16" i="2" s="1"/>
  <c r="AK16" i="2" s="1"/>
  <c r="X16" i="2"/>
  <c r="AA16" i="2"/>
  <c r="AB16" i="2"/>
  <c r="AD16" i="2"/>
  <c r="AJ16" i="2"/>
  <c r="E17" i="2"/>
  <c r="H17" i="2" s="1"/>
  <c r="K17" i="2" s="1"/>
  <c r="N17" i="2" s="1"/>
  <c r="Q17" i="2" s="1"/>
  <c r="T17" i="2" s="1"/>
  <c r="W17" i="2" s="1"/>
  <c r="Z17" i="2" s="1"/>
  <c r="AC17" i="2" s="1"/>
  <c r="AF17" i="2" s="1"/>
  <c r="AI17" i="2" s="1"/>
  <c r="AK17" i="2" s="1"/>
  <c r="F17" i="2"/>
  <c r="J17" i="2"/>
  <c r="AJ17" i="2"/>
  <c r="E18" i="2"/>
  <c r="H18" i="2"/>
  <c r="K18" i="2"/>
  <c r="N18" i="2" s="1"/>
  <c r="Q18" i="2" s="1"/>
  <c r="T18" i="2" s="1"/>
  <c r="W18" i="2" s="1"/>
  <c r="Z18" i="2" s="1"/>
  <c r="AC18" i="2" s="1"/>
  <c r="AF18" i="2" s="1"/>
  <c r="AI18" i="2" s="1"/>
  <c r="AK18" i="2" s="1"/>
  <c r="U18" i="2"/>
  <c r="X18" i="2"/>
  <c r="Y18" i="2"/>
  <c r="AB18" i="2"/>
  <c r="AJ18" i="2"/>
  <c r="E19" i="2"/>
  <c r="H19" i="2"/>
  <c r="K19" i="2" s="1"/>
  <c r="N19" i="2" s="1"/>
  <c r="Q19" i="2" s="1"/>
  <c r="T19" i="2" s="1"/>
  <c r="W19" i="2" s="1"/>
  <c r="Z19" i="2" s="1"/>
  <c r="AC19" i="2" s="1"/>
  <c r="AF19" i="2" s="1"/>
  <c r="AI19" i="2" s="1"/>
  <c r="AK19" i="2" s="1"/>
  <c r="V19" i="2"/>
  <c r="X19" i="2"/>
  <c r="AJ19" i="2"/>
  <c r="B20" i="2"/>
  <c r="B32" i="2" s="1"/>
  <c r="D20" i="2"/>
  <c r="E20" i="2"/>
  <c r="H20" i="2" s="1"/>
  <c r="K20" i="2" s="1"/>
  <c r="N20" i="2" s="1"/>
  <c r="Q20" i="2" s="1"/>
  <c r="T20" i="2" s="1"/>
  <c r="W20" i="2" s="1"/>
  <c r="Z20" i="2" s="1"/>
  <c r="AC20" i="2" s="1"/>
  <c r="AF20" i="2" s="1"/>
  <c r="AI20" i="2" s="1"/>
  <c r="AK20" i="2" s="1"/>
  <c r="I20" i="2"/>
  <c r="AJ20" i="2"/>
  <c r="E21" i="2"/>
  <c r="H21" i="2" s="1"/>
  <c r="K21" i="2" s="1"/>
  <c r="N21" i="2" s="1"/>
  <c r="Q21" i="2" s="1"/>
  <c r="T21" i="2" s="1"/>
  <c r="W21" i="2" s="1"/>
  <c r="Z21" i="2" s="1"/>
  <c r="AC21" i="2" s="1"/>
  <c r="AF21" i="2" s="1"/>
  <c r="AI21" i="2" s="1"/>
  <c r="AK21" i="2" s="1"/>
  <c r="F21" i="2"/>
  <c r="L21" i="2"/>
  <c r="S21" i="2"/>
  <c r="AJ21" i="2"/>
  <c r="E22" i="2"/>
  <c r="H22" i="2" s="1"/>
  <c r="K22" i="2" s="1"/>
  <c r="N22" i="2" s="1"/>
  <c r="Q22" i="2" s="1"/>
  <c r="T22" i="2" s="1"/>
  <c r="W22" i="2" s="1"/>
  <c r="Z22" i="2" s="1"/>
  <c r="AC22" i="2" s="1"/>
  <c r="AF22" i="2" s="1"/>
  <c r="AI22" i="2" s="1"/>
  <c r="AK22" i="2" s="1"/>
  <c r="G22" i="2"/>
  <c r="U22" i="2"/>
  <c r="U32" i="2" s="1"/>
  <c r="V22" i="2"/>
  <c r="V32" i="2" s="1"/>
  <c r="X22" i="2"/>
  <c r="Y22" i="2"/>
  <c r="AA22" i="2"/>
  <c r="AB22" i="2"/>
  <c r="AJ22" i="2"/>
  <c r="E23" i="2"/>
  <c r="H23" i="2"/>
  <c r="K23" i="2"/>
  <c r="N23" i="2"/>
  <c r="Q23" i="2"/>
  <c r="T23" i="2"/>
  <c r="W23" i="2" s="1"/>
  <c r="Z23" i="2" s="1"/>
  <c r="AC23" i="2" s="1"/>
  <c r="AF23" i="2" s="1"/>
  <c r="AI23" i="2" s="1"/>
  <c r="AK23" i="2" s="1"/>
  <c r="AD23" i="2"/>
  <c r="AG23" i="2"/>
  <c r="AG32" i="2" s="1"/>
  <c r="AJ23" i="2"/>
  <c r="C24" i="2"/>
  <c r="D24" i="2"/>
  <c r="E24" i="2"/>
  <c r="F24" i="2"/>
  <c r="G24" i="2"/>
  <c r="H24" i="2"/>
  <c r="K24" i="2" s="1"/>
  <c r="N24" i="2" s="1"/>
  <c r="Q24" i="2" s="1"/>
  <c r="T24" i="2" s="1"/>
  <c r="W24" i="2" s="1"/>
  <c r="Z24" i="2" s="1"/>
  <c r="AC24" i="2" s="1"/>
  <c r="AF24" i="2" s="1"/>
  <c r="AI24" i="2" s="1"/>
  <c r="AK24" i="2" s="1"/>
  <c r="I24" i="2"/>
  <c r="J24" i="2"/>
  <c r="L24" i="2"/>
  <c r="M24" i="2"/>
  <c r="O24" i="2"/>
  <c r="X24" i="2"/>
  <c r="Y24" i="2"/>
  <c r="AJ24" i="2"/>
  <c r="E25" i="2"/>
  <c r="H25" i="2" s="1"/>
  <c r="K25" i="2" s="1"/>
  <c r="N25" i="2" s="1"/>
  <c r="Q25" i="2" s="1"/>
  <c r="T25" i="2" s="1"/>
  <c r="W25" i="2" s="1"/>
  <c r="Z25" i="2" s="1"/>
  <c r="AC25" i="2" s="1"/>
  <c r="AF25" i="2" s="1"/>
  <c r="AI25" i="2" s="1"/>
  <c r="AK25" i="2" s="1"/>
  <c r="I25" i="2"/>
  <c r="M25" i="2"/>
  <c r="AJ25" i="2"/>
  <c r="E26" i="2"/>
  <c r="H26" i="2" s="1"/>
  <c r="K26" i="2" s="1"/>
  <c r="N26" i="2" s="1"/>
  <c r="Q26" i="2" s="1"/>
  <c r="T26" i="2" s="1"/>
  <c r="W26" i="2" s="1"/>
  <c r="Z26" i="2" s="1"/>
  <c r="AC26" i="2" s="1"/>
  <c r="AF26" i="2" s="1"/>
  <c r="AI26" i="2" s="1"/>
  <c r="AK26" i="2" s="1"/>
  <c r="X26" i="2"/>
  <c r="AJ26" i="2"/>
  <c r="E27" i="2"/>
  <c r="H27" i="2"/>
  <c r="K27" i="2" s="1"/>
  <c r="N27" i="2" s="1"/>
  <c r="Q27" i="2" s="1"/>
  <c r="T27" i="2" s="1"/>
  <c r="W27" i="2" s="1"/>
  <c r="Z27" i="2" s="1"/>
  <c r="AC27" i="2" s="1"/>
  <c r="AF27" i="2" s="1"/>
  <c r="AI27" i="2" s="1"/>
  <c r="AK27" i="2" s="1"/>
  <c r="S27" i="2"/>
  <c r="V27" i="2"/>
  <c r="X27" i="2"/>
  <c r="Y27" i="2"/>
  <c r="AB27" i="2"/>
  <c r="AJ27" i="2"/>
  <c r="E28" i="2"/>
  <c r="H28" i="2" s="1"/>
  <c r="K28" i="2" s="1"/>
  <c r="N28" i="2" s="1"/>
  <c r="Q28" i="2" s="1"/>
  <c r="T28" i="2" s="1"/>
  <c r="W28" i="2" s="1"/>
  <c r="Z28" i="2" s="1"/>
  <c r="AC28" i="2" s="1"/>
  <c r="AF28" i="2" s="1"/>
  <c r="AI28" i="2" s="1"/>
  <c r="AK28" i="2" s="1"/>
  <c r="AG28" i="2"/>
  <c r="AJ28" i="2"/>
  <c r="E29" i="2"/>
  <c r="H29" i="2"/>
  <c r="K29" i="2" s="1"/>
  <c r="N29" i="2" s="1"/>
  <c r="Q29" i="2" s="1"/>
  <c r="T29" i="2" s="1"/>
  <c r="W29" i="2" s="1"/>
  <c r="Z29" i="2" s="1"/>
  <c r="AC29" i="2" s="1"/>
  <c r="AF29" i="2" s="1"/>
  <c r="AI29" i="2" s="1"/>
  <c r="AK29" i="2" s="1"/>
  <c r="U29" i="2"/>
  <c r="X29" i="2"/>
  <c r="Y29" i="2"/>
  <c r="AJ29" i="2"/>
  <c r="E30" i="2"/>
  <c r="H30" i="2"/>
  <c r="K30" i="2" s="1"/>
  <c r="N30" i="2" s="1"/>
  <c r="Q30" i="2" s="1"/>
  <c r="T30" i="2" s="1"/>
  <c r="W30" i="2" s="1"/>
  <c r="Z30" i="2" s="1"/>
  <c r="AC30" i="2" s="1"/>
  <c r="AF30" i="2" s="1"/>
  <c r="AI30" i="2" s="1"/>
  <c r="AK30" i="2" s="1"/>
  <c r="AJ30" i="2"/>
  <c r="E31" i="2"/>
  <c r="H31" i="2"/>
  <c r="K31" i="2"/>
  <c r="N31" i="2"/>
  <c r="Q31" i="2"/>
  <c r="T31" i="2" s="1"/>
  <c r="W31" i="2" s="1"/>
  <c r="Z31" i="2" s="1"/>
  <c r="AC31" i="2" s="1"/>
  <c r="AF31" i="2" s="1"/>
  <c r="AI31" i="2" s="1"/>
  <c r="AK31" i="2" s="1"/>
  <c r="AD31" i="2"/>
  <c r="AJ31" i="2"/>
  <c r="C32" i="2"/>
  <c r="O32" i="2"/>
  <c r="P32" i="2"/>
  <c r="R32" i="2"/>
  <c r="X32" i="2"/>
  <c r="B40" i="1"/>
  <c r="C36" i="1" s="1"/>
  <c r="C40" i="1" s="1"/>
  <c r="J38" i="1"/>
  <c r="J37" i="1"/>
  <c r="I31" i="1"/>
  <c r="H29" i="1"/>
  <c r="G29" i="1"/>
  <c r="F29" i="1"/>
  <c r="C29" i="1"/>
  <c r="B29" i="1"/>
  <c r="E28" i="1"/>
  <c r="E29" i="1" s="1"/>
  <c r="D28" i="1"/>
  <c r="D29" i="1" s="1"/>
  <c r="D17" i="1"/>
  <c r="J17" i="1" s="1"/>
  <c r="G16" i="1"/>
  <c r="F16" i="1"/>
  <c r="E16" i="1"/>
  <c r="D16" i="1"/>
  <c r="J16" i="1" s="1"/>
  <c r="C16" i="1"/>
  <c r="E15" i="1"/>
  <c r="J15" i="1" s="1"/>
  <c r="E14" i="1"/>
  <c r="D14" i="1"/>
  <c r="D13" i="1"/>
  <c r="J13" i="1" s="1"/>
  <c r="E12" i="1"/>
  <c r="J12" i="1" s="1"/>
  <c r="D11" i="1"/>
  <c r="J11" i="1" s="1"/>
  <c r="H10" i="1"/>
  <c r="G10" i="1"/>
  <c r="F10" i="1"/>
  <c r="E10" i="1"/>
  <c r="D10" i="1"/>
  <c r="B10" i="1"/>
  <c r="D9" i="1"/>
  <c r="C9" i="1"/>
  <c r="J9" i="1" s="1"/>
  <c r="B9" i="1"/>
  <c r="H8" i="1"/>
  <c r="J8" i="1" s="1"/>
  <c r="H7" i="1"/>
  <c r="J7" i="1" s="1"/>
  <c r="H6" i="1"/>
  <c r="J6" i="1" s="1"/>
  <c r="H5" i="1"/>
  <c r="G5" i="1"/>
  <c r="F5" i="1"/>
  <c r="E5" i="1"/>
  <c r="D5" i="1"/>
  <c r="C5" i="1"/>
  <c r="B5" i="1"/>
  <c r="J14" i="1" l="1"/>
  <c r="J10" i="1"/>
  <c r="J5" i="1"/>
  <c r="H32" i="2"/>
  <c r="K5" i="2"/>
  <c r="D32" i="2"/>
  <c r="E32" i="2"/>
  <c r="C45" i="1"/>
  <c r="D36" i="1"/>
  <c r="D40" i="1" s="1"/>
  <c r="B45" i="1"/>
  <c r="B19" i="1"/>
  <c r="K32" i="2" l="1"/>
  <c r="N5" i="2"/>
  <c r="E36" i="1"/>
  <c r="E40" i="1" s="1"/>
  <c r="D45" i="1"/>
  <c r="C4" i="1"/>
  <c r="C19" i="1" s="1"/>
  <c r="B31" i="1"/>
  <c r="B48" i="1" s="1"/>
  <c r="N32" i="2" l="1"/>
  <c r="Q5" i="2"/>
  <c r="C31" i="1"/>
  <c r="C48" i="1" s="1"/>
  <c r="D4" i="1"/>
  <c r="D19" i="1" s="1"/>
  <c r="F36" i="1"/>
  <c r="F40" i="1" s="1"/>
  <c r="E45" i="1"/>
  <c r="Q32" i="2" l="1"/>
  <c r="T5" i="2"/>
  <c r="G36" i="1"/>
  <c r="G40" i="1" s="1"/>
  <c r="F45" i="1"/>
  <c r="E4" i="1"/>
  <c r="E19" i="1" s="1"/>
  <c r="D31" i="1"/>
  <c r="D48" i="1" s="1"/>
  <c r="W5" i="2" l="1"/>
  <c r="T32" i="2"/>
  <c r="E31" i="1"/>
  <c r="E48" i="1" s="1"/>
  <c r="F4" i="1"/>
  <c r="F19" i="1" s="1"/>
  <c r="G45" i="1"/>
  <c r="H36" i="1"/>
  <c r="H40" i="1" s="1"/>
  <c r="H45" i="1" s="1"/>
  <c r="Z5" i="2" l="1"/>
  <c r="W32" i="2"/>
  <c r="F31" i="1"/>
  <c r="F48" i="1" s="1"/>
  <c r="G4" i="1"/>
  <c r="G19" i="1" s="1"/>
  <c r="AC5" i="2" l="1"/>
  <c r="Z32" i="2"/>
  <c r="H4" i="1"/>
  <c r="H19" i="1" s="1"/>
  <c r="H31" i="1" s="1"/>
  <c r="H48" i="1" s="1"/>
  <c r="G31" i="1"/>
  <c r="G48" i="1" s="1"/>
  <c r="AF5" i="2" l="1"/>
  <c r="AC32" i="2"/>
  <c r="AI5" i="2" l="1"/>
  <c r="AF32" i="2"/>
  <c r="AK5" i="2" l="1"/>
  <c r="AK32" i="2" s="1"/>
  <c r="AI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tc={510148D0-C843-4742-B641-6A30D562746A}</author>
    <author>tc={6821837F-E5FC-49E6-9B88-E79C4647930E}</author>
    <author>tc={0C12F4EF-5EA1-4715-9B85-34D7B05FE9C6}</author>
    <author>tc={BC228975-DECD-477D-B6F3-DF8EB8D5C4F7}</author>
    <author>tc={E3F883F5-2807-4159-80DB-A6D42104B253}</author>
    <author>tc={7781ABB5-5BAA-473C-92E1-CCF7D9C3842C}</author>
    <author>tc={B8027C1B-F644-4092-98D7-297A912C2F3F}</author>
    <author>tc={FF44EBA2-E125-4131-8D17-FE16CAF997C5}</author>
    <author>tc={4813FCFA-97D8-40AE-B512-FF126C70D707}</author>
    <author>tc={A7045C59-8101-4667-AC0A-0A24A4C40594}</author>
    <author>tc={99BA1AA4-437A-4073-836C-ED55CA03F50F}</author>
    <author>Jennifer Mahlum</author>
    <author>tc={9D545EB3-5CC9-4F28-BF53-2D6DB2DEEAB1}</author>
    <author>tc={F92C11DA-CC91-425D-9260-02F1B08B82AB}</author>
    <author>tc={7D1AFA5C-FCAA-41B2-9077-AC86FEDE28E0}</author>
    <author>tc={B9A20F2D-11D7-408D-B547-BB4D658662F3}</author>
    <author>tc={8C2CE394-30A0-47F5-BAAC-3C289E97B223}</author>
    <author>tc={809529EE-4361-4D7B-B650-3E1A7BC1671C}</author>
  </authors>
  <commentList>
    <comment ref="B5" authorId="0" shapeId="0" xr:uid="{510148D0-C843-4742-B641-6A30D562746A}">
      <text>
        <t>[Threaded comment]
Your version of Excel allows you to read this threaded comment; however, any edits to it will get removed if the file is opened in a newer version of Excel. Learn more: https://go.microsoft.com/fwlink/?linkid=870924
Comment:
    Credit cards $105
Reply:
    $50 Benevity</t>
      </text>
    </comment>
    <comment ref="C5" authorId="1" shapeId="0" xr:uid="{6821837F-E5FC-49E6-9B88-E79C4647930E}">
      <text>
        <t>[Threaded comment]
Your version of Excel allows you to read this threaded comment; however, any edits to it will get removed if the file is opened in a newer version of Excel. Learn more: https://go.microsoft.com/fwlink/?linkid=870924
Comment:
    Credit Cards  $250 general
$100 Mobile Deposit donation
$50 Benevity
$13,735 Key Bank Credit Cards</t>
      </text>
    </comment>
    <comment ref="D5" authorId="2" shapeId="0" xr:uid="{0C12F4EF-5EA1-4715-9B85-34D7B05FE9C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Key Bank Credit Cards - $2,980 For General Fund
Reply:
    $50 Benevity
</t>
      </text>
    </comment>
    <comment ref="E5" authorId="3" shapeId="0" xr:uid="{BC228975-DECD-477D-B6F3-DF8EB8D5C4F7}">
      <text>
        <t>[Threaded comment]
Your version of Excel allows you to read this threaded comment; however, any edits to it will get removed if the file is opened in a newer version of Excel. Learn more: https://go.microsoft.com/fwlink/?linkid=870924
Comment:
    Credit cards $4,145
Pierce $2,720
Reply:
    $50 Benevity</t>
      </text>
    </comment>
    <comment ref="F5" authorId="4" shapeId="0" xr:uid="{E3F883F5-2807-4159-80DB-A6D42104B25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Benevity $200
Reply:
    Credit cards November $335 </t>
      </text>
    </comment>
    <comment ref="G5" authorId="5" shapeId="0" xr:uid="{7781ABB5-5BAA-473C-92E1-CCF7D9C3842C}">
      <text>
        <t>[Threaded comment]
Your version of Excel allows you to read this threaded comment; however, any edits to it will get removed if the file is opened in a newer version of Excel. Learn more: https://go.microsoft.com/fwlink/?linkid=870924
Comment:
    Benevity $315 
Credit Cards $720</t>
      </text>
    </comment>
    <comment ref="H5" authorId="6" shapeId="0" xr:uid="{B8027C1B-F644-4092-98D7-297A912C2F3F}">
      <text>
        <t>[Threaded comment]
Your version of Excel allows you to read this threaded comment; however, any edits to it will get removed if the file is opened in a newer version of Excel. Learn more: https://go.microsoft.com/fwlink/?linkid=870924
Comment:
    $150 from Alco Investments $100 is for Band Boosters $50 for track
Reply:
    $500 from Key Bank received in July into Softball transferred in January
Reply:
    $87.50 Benevity January deposit</t>
      </text>
    </comment>
    <comment ref="F6" authorId="7" shapeId="0" xr:uid="{FF44EBA2-E125-4131-8D17-FE16CAF997C5}">
      <text>
        <t>[Threaded comment]
Your version of Excel allows you to read this threaded comment; however, any edits to it will get removed if the file is opened in a newer version of Excel. Learn more: https://go.microsoft.com/fwlink/?linkid=870924
Comment:
    $5,801 credit cards for Pint Night</t>
      </text>
    </comment>
    <comment ref="H6" authorId="8" shapeId="0" xr:uid="{4813FCFA-97D8-40AE-B512-FF126C70D707}">
      <text>
        <t>[Threaded comment]
Your version of Excel allows you to read this threaded comment; however, any edits to it will get removed if the file is opened in a newer version of Excel. Learn more: https://go.microsoft.com/fwlink/?linkid=870924
Comment:
    $205 from Pint Night Raffle Basket
$2,353.04 from Champs Night
Jan credit cards for Champs Night $1,911</t>
      </text>
    </comment>
    <comment ref="E7" authorId="9" shapeId="0" xr:uid="{A7045C59-8101-4667-AC0A-0A24A4C40594}">
      <text>
        <t>[Threaded comment]
Your version of Excel allows you to read this threaded comment; however, any edits to it will get removed if the file is opened in a newer version of Excel. Learn more: https://go.microsoft.com/fwlink/?linkid=870924
Comment:
    Pint glasses paid from Boys soccer account and reimbursed their account in November</t>
      </text>
    </comment>
    <comment ref="H7" authorId="10" shapeId="0" xr:uid="{99BA1AA4-437A-4073-836C-ED55CA03F50F}">
      <text>
        <t>[Threaded comment]
Your version of Excel allows you to read this threaded comment; however, any edits to it will get removed if the file is opened in a newer version of Excel. Learn more: https://go.microsoft.com/fwlink/?linkid=870924
Comment:
    Plaque for Champs Night $238.80
Reply:
    Champs Night t-shirts $762
Sounders Night deposit $200</t>
      </text>
    </comment>
    <comment ref="F8" authorId="11" shapeId="0" xr:uid="{34229484-9BB2-48A3-906D-C7EAC016E7D5}">
      <text>
        <r>
          <rPr>
            <b/>
            <sz val="9"/>
            <color indexed="81"/>
            <rFont val="Tahoma"/>
            <family val="2"/>
          </rPr>
          <t>Jennifer Mahlum:</t>
        </r>
        <r>
          <rPr>
            <sz val="9"/>
            <color indexed="81"/>
            <rFont val="Tahoma"/>
            <family val="2"/>
          </rPr>
          <t xml:space="preserve">
Slowpitch
</t>
        </r>
      </text>
    </comment>
    <comment ref="G8" authorId="12" shapeId="0" xr:uid="{9D545EB3-5CC9-4F28-BF53-2D6DB2DEEAB1}">
      <text>
        <t>[Threaded comment]
Your version of Excel allows you to read this threaded comment; however, any edits to it will get removed if the file is opened in a newer version of Excel. Learn more: https://go.microsoft.com/fwlink/?linkid=870924
Comment:
    Gymnastics</t>
      </text>
    </comment>
    <comment ref="H8" authorId="13" shapeId="0" xr:uid="{F92C11DA-CC91-425D-9260-02F1B08B82AB}">
      <text>
        <t>[Threaded comment]
Your version of Excel allows you to read this threaded comment; however, any edits to it will get removed if the file is opened in a newer version of Excel. Learn more: https://go.microsoft.com/fwlink/?linkid=870924
Comment:
    Grant to Tennis $714.97
Reimbursement from Boys Soccer for Feb 2022 errror</t>
      </text>
    </comment>
    <comment ref="B9" authorId="14" shapeId="0" xr:uid="{7D1AFA5C-FCAA-41B2-9077-AC86FEDE28E0}">
      <text>
        <t>[Threaded comment]
Your version of Excel allows you to read this threaded comment; however, any edits to it will get removed if the file is opened in a newer version of Excel. Learn more: https://go.microsoft.com/fwlink/?linkid=870924
Comment:
    License Fee $65
Reimbursement to Wendy $150.17</t>
      </text>
    </comment>
    <comment ref="H9" authorId="15" shapeId="0" xr:uid="{B9A20F2D-11D7-408D-B547-BB4D658662F3}">
      <text>
        <t>[Threaded comment]
Your version of Excel allows you to read this threaded comment; however, any edits to it will get removed if the file is opened in a newer version of Excel. Learn more: https://go.microsoft.com/fwlink/?linkid=870924
Comment:
    Bill Pay to Wendy Sykes for Binder supplies</t>
      </text>
    </comment>
    <comment ref="B10" authorId="16" shapeId="0" xr:uid="{8C2CE394-30A0-47F5-BAAC-3C289E97B223}">
      <text>
        <t>[Threaded comment]
Your version of Excel allows you to read this threaded comment; however, any edits to it will get removed if the file is opened in a newer version of Excel. Learn more: https://go.microsoft.com/fwlink/?linkid=870924
Comment:
    $95 refund on Key Bank credit card fees</t>
      </text>
    </comment>
    <comment ref="G10" authorId="17" shapeId="0" xr:uid="{809529EE-4361-4D7B-B650-3E1A7BC1671C}">
      <text>
        <t>[Threaded comment]
Your version of Excel allows you to read this threaded comment; however, any edits to it will get removed if the file is opened in a newer version of Excel. Learn more: https://go.microsoft.com/fwlink/?linkid=870924
Comment:
    $875 refund from Greater Giving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tc={10D02619-B2C3-4859-91AA-9F4B4D1E48AD}</author>
    <author>tc={DEC94E33-7378-40E9-AE3C-1AEAC3454326}</author>
    <author>tc={0EF2FDFB-B538-4D53-A98B-DDDE9D8D94DF}</author>
    <author>tc={765FB502-F7D7-4034-B1FF-F7606877EB84}</author>
    <author>tc={78C4CAE9-E459-4699-88A3-6A117BE51ADA}</author>
    <author>tc={93C7F005-AB56-42A4-9A0A-52F39B70D3E3}</author>
    <author>tc={511D505D-2F78-42B2-B99B-4C4312DD7444}</author>
    <author>tc={D958DA2B-4876-4075-958E-51EC9B4244A5}</author>
    <author>tc={ACB5FE98-4747-4679-955B-74714117C69A}</author>
    <author>tc={E534D06F-B1B0-459D-B034-DE086E65927E}</author>
    <author>tc={F10C5877-39E6-45BD-9F4D-880BDC33A871}</author>
    <author>tc={68777348-837B-4EEA-850F-F6A70DE785D6}</author>
    <author>tc={C7364EF9-CAE4-4E42-816D-1B77AF911170}</author>
    <author>tc={D4A6B2B7-7D3C-4276-94CF-00162B4B426C}</author>
    <author>tc={736E0181-E070-4924-BECD-B78EE9127C5D}</author>
    <author>tc={AF3F4789-FB83-4920-871B-78701932E96F}</author>
    <author>tc={9C3ED35D-58D3-4080-A3DB-B1338F9FD3A4}</author>
    <author>tc={2206F74B-0C7D-4A29-A773-695A0D467485}</author>
    <author>tc={4B358592-BA60-4F8D-A7D6-95B7540E197E}</author>
    <author>tc={487AE508-59A2-4459-9AB4-CC1A026E7056}</author>
    <author>tc={7C92BCDF-2B08-401D-B241-DCFFFEF64A5F}</author>
  </authors>
  <commentList>
    <comment ref="F6" authorId="0" shapeId="0" xr:uid="{10D02619-B2C3-4859-91AA-9F4B4D1E48AD}">
      <text>
        <t>[Threaded comment]
Your version of Excel allows you to read this threaded comment; however, any edits to it will get removed if the file is opened in a newer version of Excel. Learn more: https://go.microsoft.com/fwlink/?linkid=870924
Comment:
    $250 from Benevity</t>
      </text>
    </comment>
    <comment ref="AG6" authorId="1" shapeId="0" xr:uid="{DEC94E33-7378-40E9-AE3C-1AEAC345432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December credit cards $750
January credit cards $100
</t>
      </text>
    </comment>
    <comment ref="AG8" authorId="2" shapeId="0" xr:uid="{0EF2FDFB-B538-4D53-A98B-DDDE9D8D94DF}">
      <text>
        <t>[Threaded comment]
Your version of Excel allows you to read this threaded comment; however, any edits to it will get removed if the file is opened in a newer version of Excel. Learn more: https://go.microsoft.com/fwlink/?linkid=870924
Comment:
    December credit cards</t>
      </text>
    </comment>
    <comment ref="F9" authorId="3" shapeId="0" xr:uid="{765FB502-F7D7-4034-B1FF-F7606877EB8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$150 from Benevity
</t>
      </text>
    </comment>
    <comment ref="L9" authorId="4" shapeId="0" xr:uid="{78C4CAE9-E459-4699-88A3-6A117BE51ADA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be $20,886 $75 is General Fund from Benevity</t>
      </text>
    </comment>
    <comment ref="AE9" authorId="5" shapeId="0" xr:uid="{93C7F005-AB56-42A4-9A0A-52F39B70D3E3}">
      <text>
        <t>[Threaded comment]
Your version of Excel allows you to read this threaded comment; however, any edits to it will get removed if the file is opened in a newer version of Excel. Learn more: https://go.microsoft.com/fwlink/?linkid=870924
Comment:
Reply:
    Reimbursement directly to Jeremy Blauser's personal Key bank account for uniform purchases on his credit card</t>
      </text>
    </comment>
    <comment ref="AH9" authorId="6" shapeId="0" xr:uid="{511D505D-2F78-42B2-B99B-4C4312DD7444}">
      <text>
        <t>[Threaded comment]
Your version of Excel allows you to read this threaded comment; however, any edits to it will get removed if the file is opened in a newer version of Excel. Learn more: https://go.microsoft.com/fwlink/?linkid=870924
Comment:
    Reimburse general fund for grant double payment in Feb 2022 $1,250
Reply:
    Reimbursement directly to Jeremy Blauser's personal Key bank account for uniform purchases on his credit card</t>
      </text>
    </comment>
    <comment ref="AB10" authorId="7" shapeId="0" xr:uid="{D958DA2B-4876-4075-958E-51EC9B4244A5}">
      <text>
        <t>[Threaded comment]
Your version of Excel allows you to read this threaded comment; however, any edits to it will get removed if the file is opened in a newer version of Excel. Learn more: https://go.microsoft.com/fwlink/?linkid=870924
Comment:
    Bill Pay to Brenda Tomtan 9/26 out of Girls BBBall account-this reimburses them</t>
      </text>
    </comment>
    <comment ref="AE10" authorId="8" shapeId="0" xr:uid="{ACB5FE98-4747-4679-955B-74714117C69A}">
      <text>
        <t>[Threaded comment]
Your version of Excel allows you to read this threaded comment; however, any edits to it will get removed if the file is opened in a newer version of Excel. Learn more: https://go.microsoft.com/fwlink/?linkid=870924
Comment:
    Payment to Jeff Rochon should be for girls basketball</t>
      </text>
    </comment>
    <comment ref="AG10" authorId="9" shapeId="0" xr:uid="{E534D06F-B1B0-459D-B034-DE086E65927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December credit cards $500</t>
      </text>
    </comment>
    <comment ref="F13" authorId="10" shapeId="0" xr:uid="{F10C5877-39E6-45BD-9F4D-880BDC33A871}">
      <text>
        <t>[Threaded comment]
Your version of Excel allows you to read this threaded comment; however, any edits to it will get removed if the file is opened in a newer version of Excel. Learn more: https://go.microsoft.com/fwlink/?linkid=870924
Comment:
    Grant check deposited</t>
      </text>
    </comment>
    <comment ref="AE15" authorId="11" shapeId="0" xr:uid="{68777348-837B-4EEA-850F-F6A70DE785D6}">
      <text>
        <t>[Threaded comment]
Your version of Excel allows you to read this threaded comment; however, any edits to it will get removed if the file is opened in a newer version of Excel. Learn more: https://go.microsoft.com/fwlink/?linkid=870924
Comment:
    Payment to Jeff Rochon should be for girls basketball instead of Boys Swim - transfer done in January $352.56</t>
      </text>
    </comment>
    <comment ref="AG17" authorId="12" shapeId="0" xr:uid="{C7364EF9-CAE4-4E42-816D-1B77AF911170}">
      <text>
        <t>[Threaded comment]
Your version of Excel allows you to read this threaded comment; however, any edits to it will get removed if the file is opened in a newer version of Excel. Learn more: https://go.microsoft.com/fwlink/?linkid=870924
Comment:
    $37.50 Benevity</t>
      </text>
    </comment>
    <comment ref="X18" authorId="13" shapeId="0" xr:uid="{D4A6B2B7-7D3C-4276-94CF-00162B4B426C}">
      <text>
        <t>[Threaded comment]
Your version of Excel allows you to read this threaded comment; however, any edits to it will get removed if the file is opened in a newer version of Excel. Learn more: https://go.microsoft.com/fwlink/?linkid=870924
Comment:
    Only $710 transferred due to credit card return of $600 in October whose original charge was not posted to account in September due to pending refund</t>
      </text>
    </comment>
    <comment ref="AG20" authorId="14" shapeId="0" xr:uid="{736E0181-E070-4924-BECD-B78EE9127C5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December credit cards
$50 Matching Gift check
</t>
      </text>
    </comment>
    <comment ref="AD23" authorId="15" shapeId="0" xr:uid="{AF3F4789-FB83-4920-871B-78701932E96F}">
      <text>
        <t>[Threaded comment]
Your version of Excel allows you to read this threaded comment; however, any edits to it will get removed if the file is opened in a newer version of Excel. Learn more: https://go.microsoft.com/fwlink/?linkid=870924
Comment:
    $1,000 Grant
$750 Benevity Matching Gift
$1,000 credit cards</t>
      </text>
    </comment>
    <comment ref="AG23" authorId="16" shapeId="0" xr:uid="{9C3ED35D-58D3-4080-A3DB-B1338F9FD3A4}">
      <text>
        <t>[Threaded comment]
Your version of Excel allows you to read this threaded comment; however, any edits to it will get removed if the file is opened in a newer version of Excel. Learn more: https://go.microsoft.com/fwlink/?linkid=870924
Comment:
    December credit cards $650
January credit cards $300</t>
      </text>
    </comment>
    <comment ref="AG24" authorId="17" shapeId="0" xr:uid="{2206F74B-0C7D-4A29-A773-695A0D467485}">
      <text>
        <t>[Threaded comment]
Your version of Excel allows you to read this threaded comment; however, any edits to it will get removed if the file is opened in a newer version of Excel. Learn more: https://go.microsoft.com/fwlink/?linkid=870924
Comment:
    Transfer donation from Key Bank received in July to General Fund</t>
      </text>
    </comment>
    <comment ref="AG25" authorId="18" shapeId="0" xr:uid="{4B358592-BA60-4F8D-A7D6-95B7540E197E}">
      <text>
        <t>[Threaded comment]
Your version of Excel allows you to read this threaded comment; however, any edits to it will get removed if the file is opened in a newer version of Excel. Learn more: https://go.microsoft.com/fwlink/?linkid=870924
Comment:
    Grant for uniforms</t>
      </text>
    </comment>
    <comment ref="AG28" authorId="19" shapeId="0" xr:uid="{487AE508-59A2-4459-9AB4-CC1A026E705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December credit cards $500
January credit cards $435
</t>
      </text>
    </comment>
    <comment ref="AA29" authorId="20" shapeId="0" xr:uid="{7C92BCDF-2B08-401D-B241-DCFFFEF64A5F}">
      <text>
        <t>[Threaded comment]
Your version of Excel allows you to read this threaded comment; however, any edits to it will get removed if the file is opened in a newer version of Excel. Learn more: https://go.microsoft.com/fwlink/?linkid=870924
Comment:
    Grant deposit</t>
      </text>
    </comment>
  </commentList>
</comments>
</file>

<file path=xl/sharedStrings.xml><?xml version="1.0" encoding="utf-8"?>
<sst xmlns="http://schemas.openxmlformats.org/spreadsheetml/2006/main" count="134" uniqueCount="85">
  <si>
    <t>General Account Activity</t>
  </si>
  <si>
    <t>July 2022-June 2023</t>
  </si>
  <si>
    <t>Year to Date Income and Expenses</t>
  </si>
  <si>
    <t xml:space="preserve">Beginning Balance </t>
  </si>
  <si>
    <t>Donations</t>
  </si>
  <si>
    <t>Event Income</t>
  </si>
  <si>
    <t>Event Costs</t>
  </si>
  <si>
    <t>Grants to Teams</t>
  </si>
  <si>
    <t>Admin Costs</t>
  </si>
  <si>
    <t>Website/Donation/Credit CardFees</t>
  </si>
  <si>
    <t>Trainer</t>
  </si>
  <si>
    <t>Payments for Merchandise</t>
  </si>
  <si>
    <t>Greater Giving Deposits to be allocated to teams</t>
  </si>
  <si>
    <t>Greater Giving Deposits Allocated to Teams</t>
  </si>
  <si>
    <t>Benevity Deposits to be Allocated to Teams</t>
  </si>
  <si>
    <t>Key Bank Credit Card Donations to be transferred to Teams</t>
  </si>
  <si>
    <t>Key Bank Credit Cards transferred to teams following month</t>
  </si>
  <si>
    <t>Ending Balance General Account</t>
  </si>
  <si>
    <t>Bank Reconciliation:</t>
  </si>
  <si>
    <t>Ending Balance per Key Bank General Account</t>
  </si>
  <si>
    <t>Ending Balance per WA Trust</t>
  </si>
  <si>
    <t>Less: Outstanding Checks</t>
  </si>
  <si>
    <t>Credit Card Batch Posting Timing Differences</t>
  </si>
  <si>
    <t>Corrected General Account Bank Balance</t>
  </si>
  <si>
    <t>Difference</t>
  </si>
  <si>
    <t>Team Accounts</t>
  </si>
  <si>
    <t>Team Expenses</t>
  </si>
  <si>
    <t>Ending Balance Team Accounts</t>
  </si>
  <si>
    <t>Bank Reconciliation</t>
  </si>
  <si>
    <t>Ending Balance per Key Bank Team Accounts</t>
  </si>
  <si>
    <t>Total</t>
  </si>
  <si>
    <t>Transfer done Feb</t>
  </si>
  <si>
    <t>Bowling Girls</t>
  </si>
  <si>
    <t>Unified</t>
  </si>
  <si>
    <t>Slowpitch</t>
  </si>
  <si>
    <t>Wrestling</t>
  </si>
  <si>
    <t>Volleyball</t>
  </si>
  <si>
    <t>Ultimate Frisbee</t>
  </si>
  <si>
    <t>Tennis - Coed</t>
  </si>
  <si>
    <t>Softball</t>
  </si>
  <si>
    <t>Gymnastics</t>
  </si>
  <si>
    <t>Golf - Coed</t>
  </si>
  <si>
    <t>Girls Water Polo</t>
  </si>
  <si>
    <t>Track Coed</t>
  </si>
  <si>
    <t>Girls Swim &amp; Dive</t>
  </si>
  <si>
    <t>Girls Soccer</t>
  </si>
  <si>
    <t>Girls Lacrosse</t>
  </si>
  <si>
    <t>Girls Cross Country</t>
  </si>
  <si>
    <t>Girls Basketball</t>
  </si>
  <si>
    <t>Football</t>
  </si>
  <si>
    <t>Dance Team</t>
  </si>
  <si>
    <t>Cheer Squad</t>
  </si>
  <si>
    <t>Boys Water Polo</t>
  </si>
  <si>
    <t>Boys Swim &amp; Dive</t>
  </si>
  <si>
    <t>Boys Soccer</t>
  </si>
  <si>
    <t>Boys Lacrosse</t>
  </si>
  <si>
    <t>Boys Cross Country</t>
  </si>
  <si>
    <t>Boys Basketball</t>
  </si>
  <si>
    <t>Baseball owes RAB</t>
  </si>
  <si>
    <t>Baseball</t>
  </si>
  <si>
    <t>Notes</t>
  </si>
  <si>
    <t>Balance Per Key Bank</t>
  </si>
  <si>
    <t>Balance</t>
  </si>
  <si>
    <t>Expense</t>
  </si>
  <si>
    <t xml:space="preserve">Income </t>
  </si>
  <si>
    <t xml:space="preserve">Balance </t>
  </si>
  <si>
    <t>Income</t>
  </si>
  <si>
    <t>Balance 2/28/22</t>
  </si>
  <si>
    <t>Sport</t>
  </si>
  <si>
    <t>Ending</t>
  </si>
  <si>
    <t>January</t>
  </si>
  <si>
    <t>December</t>
  </si>
  <si>
    <t>November</t>
  </si>
  <si>
    <t>October</t>
  </si>
  <si>
    <t>September</t>
  </si>
  <si>
    <t>August</t>
  </si>
  <si>
    <t>July</t>
  </si>
  <si>
    <t>Beginning</t>
  </si>
  <si>
    <t>June</t>
  </si>
  <si>
    <t>May</t>
  </si>
  <si>
    <t>April</t>
  </si>
  <si>
    <t>March</t>
  </si>
  <si>
    <t>Team Account Activity</t>
  </si>
  <si>
    <t>Less: Encumbered Funds for Trainer</t>
  </si>
  <si>
    <t>Funds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</si>
</sst>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3" fontId="0" fillId="0" borderId="0" xfId="1" applyFont="1"/>
    <xf numFmtId="17" fontId="0" fillId="0" borderId="1" xfId="0" applyNumberFormat="1" applyBorder="1"/>
    <xf numFmtId="0" fontId="0" fillId="0" borderId="1" xfId="0" applyBorder="1" applyAlignment="1">
      <alignment wrapText="1"/>
    </xf>
    <xf numFmtId="43" fontId="0" fillId="0" borderId="0" xfId="0" applyNumberFormat="1"/>
    <xf numFmtId="43" fontId="0" fillId="0" borderId="0" xfId="1" applyFont="1" applyFill="1"/>
    <xf numFmtId="0" fontId="3" fillId="0" borderId="2" xfId="0" applyFont="1" applyBorder="1"/>
    <xf numFmtId="0" fontId="3" fillId="0" borderId="0" xfId="0" applyFont="1"/>
    <xf numFmtId="0" fontId="0" fillId="0" borderId="0" xfId="0" applyAlignment="1">
      <alignment wrapText="1"/>
    </xf>
    <xf numFmtId="6" fontId="0" fillId="0" borderId="0" xfId="0" applyNumberFormat="1"/>
    <xf numFmtId="44" fontId="6" fillId="0" borderId="3" xfId="0" applyNumberFormat="1" applyFont="1" applyBorder="1" applyAlignment="1">
      <alignment horizontal="left"/>
    </xf>
    <xf numFmtId="6" fontId="0" fillId="0" borderId="0" xfId="1" applyNumberFormat="1" applyFont="1" applyAlignment="1"/>
    <xf numFmtId="164" fontId="6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6" fillId="0" borderId="5" xfId="0" applyFont="1" applyBorder="1" applyAlignment="1">
      <alignment horizontal="center"/>
    </xf>
    <xf numFmtId="0" fontId="2" fillId="0" borderId="0" xfId="0" applyFont="1" applyAlignment="1">
      <alignment wrapText="1"/>
    </xf>
    <xf numFmtId="14" fontId="2" fillId="0" borderId="0" xfId="0" applyNumberFormat="1" applyFont="1"/>
    <xf numFmtId="43" fontId="0" fillId="0" borderId="6" xfId="1" applyFont="1" applyBorder="1"/>
  </cellXfs>
  <cellStyles count="2">
    <cellStyle name="Comma" xfId="1" builtinId="3"/>
    <cellStyle name="Normal" xfId="0" builtinId="0"/>
  </cellStyles>
  <dxfs count="2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mahl/iCloudDrive/Documents/RAB/Team%20Accounts%20New%20Spr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Account July 22-June 23"/>
      <sheetName val="General Account "/>
      <sheetName val="Team Accounts "/>
      <sheetName val="Team Accounts before Jan tsfs "/>
      <sheetName val="Team Account Recons"/>
    </sheetNames>
    <sheetDataSet>
      <sheetData sheetId="0"/>
      <sheetData sheetId="1"/>
      <sheetData sheetId="2"/>
      <sheetData sheetId="3"/>
      <sheetData sheetId="4">
        <row r="3">
          <cell r="AN3">
            <v>0</v>
          </cell>
        </row>
        <row r="4">
          <cell r="AN4">
            <v>25256.34</v>
          </cell>
        </row>
        <row r="5">
          <cell r="AN5">
            <v>12882.79</v>
          </cell>
        </row>
        <row r="6">
          <cell r="AN6">
            <v>4622</v>
          </cell>
        </row>
        <row r="7">
          <cell r="AN7">
            <v>31992.74</v>
          </cell>
        </row>
        <row r="8">
          <cell r="AN8">
            <v>2557.86</v>
          </cell>
        </row>
        <row r="9">
          <cell r="AN9">
            <v>14814.58</v>
          </cell>
        </row>
        <row r="10">
          <cell r="AN10">
            <v>682.23</v>
          </cell>
        </row>
        <row r="11">
          <cell r="AN11">
            <v>1467.64</v>
          </cell>
        </row>
        <row r="12">
          <cell r="AN12">
            <v>12926.8</v>
          </cell>
        </row>
        <row r="13">
          <cell r="AN13">
            <v>30730.81</v>
          </cell>
        </row>
        <row r="14">
          <cell r="AN14">
            <v>8388.01</v>
          </cell>
        </row>
        <row r="15">
          <cell r="AN15">
            <v>671.21</v>
          </cell>
        </row>
        <row r="16">
          <cell r="AN16">
            <v>3429.72</v>
          </cell>
        </row>
        <row r="17">
          <cell r="AN17">
            <v>6328.45</v>
          </cell>
        </row>
        <row r="18">
          <cell r="AN18">
            <v>10411.709999999999</v>
          </cell>
        </row>
        <row r="19">
          <cell r="AN19">
            <v>5577</v>
          </cell>
        </row>
        <row r="20">
          <cell r="AN20">
            <v>6861</v>
          </cell>
        </row>
        <row r="21">
          <cell r="AN21">
            <v>7363.3</v>
          </cell>
        </row>
        <row r="22">
          <cell r="AN22">
            <v>11436.23</v>
          </cell>
        </row>
        <row r="23">
          <cell r="AN23">
            <v>1267.8</v>
          </cell>
        </row>
        <row r="24">
          <cell r="AN24">
            <v>2475</v>
          </cell>
        </row>
        <row r="25">
          <cell r="AN25">
            <v>4360.25</v>
          </cell>
        </row>
        <row r="26">
          <cell r="AN26">
            <v>3172</v>
          </cell>
        </row>
        <row r="27">
          <cell r="AN27">
            <v>2708.79</v>
          </cell>
        </row>
        <row r="28">
          <cell r="AN28">
            <v>1</v>
          </cell>
        </row>
        <row r="29">
          <cell r="AN29">
            <v>751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ennifer Mahlum" id="{89A965EA-987E-4948-AF9D-F57028B8376E}" userId="Jennifer Mahlum" providerId="None"/>
  <person displayName="Jennifer Mahlum" id="{76BFC03C-312A-49ED-A44B-E242F7FE4B72}" userId="S::accounting@LifeScienceWA.org::b000a01b-378d-4195-ac92-3e938fe144e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3-01-09T00:31:20.28" personId="{89A965EA-987E-4948-AF9D-F57028B8376E}" id="{510148D0-C843-4742-B641-6A30D562746A}">
    <text xml:space="preserve">Credit cards $105
</text>
  </threadedComment>
  <threadedComment ref="B5" dT="2023-01-09T20:21:12.26" personId="{89A965EA-987E-4948-AF9D-F57028B8376E}" id="{2C455399-681A-4BD7-B30E-ABD02B370BBA}" parentId="{510148D0-C843-4742-B641-6A30D562746A}">
    <text>$50 Benevity</text>
  </threadedComment>
  <threadedComment ref="C5" dT="2023-01-09T00:11:17.33" personId="{89A965EA-987E-4948-AF9D-F57028B8376E}" id="{6821837F-E5FC-49E6-9B88-E79C4647930E}">
    <text>Credit Cards  $250 general
$100 Mobile Deposit donation
$50 Benevity
$13,735 Key Bank Credit Cards</text>
  </threadedComment>
  <threadedComment ref="D5" dT="2023-01-09T02:10:02.69" personId="{89A965EA-987E-4948-AF9D-F57028B8376E}" id="{0C12F4EF-5EA1-4715-9B85-34D7B05FE9C6}">
    <text xml:space="preserve">Key Bank Credit Cards - $2,980 For General Fund
</text>
  </threadedComment>
  <threadedComment ref="D5" dT="2023-01-09T03:18:59.89" personId="{89A965EA-987E-4948-AF9D-F57028B8376E}" id="{B3274481-1F08-4FE2-9ACC-7490CD4AE06A}" parentId="{0C12F4EF-5EA1-4715-9B85-34D7B05FE9C6}">
    <text xml:space="preserve">$50 Benevity
</text>
  </threadedComment>
  <threadedComment ref="E5" dT="2023-01-09T02:30:34.88" personId="{89A965EA-987E-4948-AF9D-F57028B8376E}" id="{BC228975-DECD-477D-B6F3-DF8EB8D5C4F7}">
    <text>Credit cards $4,145
Pierce $2,720</text>
  </threadedComment>
  <threadedComment ref="E5" dT="2023-01-09T02:42:39.39" personId="{89A965EA-987E-4948-AF9D-F57028B8376E}" id="{1B80AEDF-0E8D-420A-A1CF-43CA06496846}" parentId="{BC228975-DECD-477D-B6F3-DF8EB8D5C4F7}">
    <text>$50 Benevity</text>
  </threadedComment>
  <threadedComment ref="F5" dT="2023-01-09T02:46:13.65" personId="{89A965EA-987E-4948-AF9D-F57028B8376E}" id="{E3F883F5-2807-4159-80DB-A6D42104B253}">
    <text>Benevity $200</text>
  </threadedComment>
  <threadedComment ref="F5" dT="2023-01-09T02:58:58.14" personId="{89A965EA-987E-4948-AF9D-F57028B8376E}" id="{37077F94-D50B-4727-B0EC-95EF710A815B}" parentId="{E3F883F5-2807-4159-80DB-A6D42104B253}">
    <text xml:space="preserve">Credit cards November $335 </text>
  </threadedComment>
  <threadedComment ref="G5" dT="2023-01-09T03:18:36.84" personId="{89A965EA-987E-4948-AF9D-F57028B8376E}" id="{7781ABB5-5BAA-473C-92E1-CCF7D9C3842C}">
    <text>Benevity $315 
Credit Cards $720</text>
  </threadedComment>
  <threadedComment ref="H5" dT="2023-01-25T03:59:28.61" personId="{89A965EA-987E-4948-AF9D-F57028B8376E}" id="{B8027C1B-F644-4092-98D7-297A912C2F3F}">
    <text xml:space="preserve">$150 from Alco Investments $100 is for Band Boosters $50 for track
</text>
  </threadedComment>
  <threadedComment ref="H5" dT="2023-02-01T20:34:41.50" personId="{76BFC03C-312A-49ED-A44B-E242F7FE4B72}" id="{C6682957-D6FC-476F-A5AF-BE2EF2163E64}" parentId="{B8027C1B-F644-4092-98D7-297A912C2F3F}">
    <text>$500 from Key Bank received in July into Softball transferred in January</text>
  </threadedComment>
  <threadedComment ref="H5" dT="2023-02-13T03:55:03.09" personId="{76BFC03C-312A-49ED-A44B-E242F7FE4B72}" id="{9EF8271A-B362-49AA-919C-517D9AC25825}" parentId="{B8027C1B-F644-4092-98D7-297A912C2F3F}">
    <text>$87.50 Benevity January deposit</text>
  </threadedComment>
  <threadedComment ref="F6" dT="2023-02-13T05:07:19.65" personId="{76BFC03C-312A-49ED-A44B-E242F7FE4B72}" id="{FF44EBA2-E125-4131-8D17-FE16CAF997C5}">
    <text>$5,801 credit cards for Pint Night</text>
  </threadedComment>
  <threadedComment ref="H6" dT="2023-01-28T01:34:08.15" personId="{89A965EA-987E-4948-AF9D-F57028B8376E}" id="{4813FCFA-97D8-40AE-B512-FF126C70D707}">
    <text>$205 from Pint Night Raffle Basket
$2,353.04 from Champs Night
Jan credit cards for Champs Night $1,911</text>
  </threadedComment>
  <threadedComment ref="E7" dT="2023-01-19T01:38:11.43" personId="{89A965EA-987E-4948-AF9D-F57028B8376E}" id="{A7045C59-8101-4667-AC0A-0A24A4C40594}">
    <text>Pint glasses paid from Boys soccer account and reimbursed their account in November</text>
  </threadedComment>
  <threadedComment ref="H7" dT="2023-01-25T03:51:32.59" personId="{89A965EA-987E-4948-AF9D-F57028B8376E}" id="{99BA1AA4-437A-4073-836C-ED55CA03F50F}">
    <text>Plaque for Champs Night $238.80</text>
  </threadedComment>
  <threadedComment ref="H7" dT="2023-01-25T03:54:54.21" personId="{89A965EA-987E-4948-AF9D-F57028B8376E}" id="{9C5C0F9C-1CF9-496C-8864-C2BC2167CB24}" parentId="{99BA1AA4-437A-4073-836C-ED55CA03F50F}">
    <text>Champs Night t-shirts $762
Sounders Night deposit $200</text>
  </threadedComment>
  <threadedComment ref="G8" dT="2023-01-08T22:27:41.99" personId="{89A965EA-987E-4948-AF9D-F57028B8376E}" id="{9D545EB3-5CC9-4F28-BF53-2D6DB2DEEAB1}">
    <text>Gymnastics</text>
  </threadedComment>
  <threadedComment ref="H8" dT="2023-01-25T03:55:22.47" personId="{89A965EA-987E-4948-AF9D-F57028B8376E}" id="{F92C11DA-CC91-425D-9260-02F1B08B82AB}">
    <text>Grant to Tennis $714.97
Reimbursement from Boys Soccer for Feb 2022 errror</text>
  </threadedComment>
  <threadedComment ref="B9" dT="2023-01-16T03:52:02.31" personId="{89A965EA-987E-4948-AF9D-F57028B8376E}" id="{7D1AFA5C-FCAA-41B2-9077-AC86FEDE28E0}">
    <text>License Fee $65
Reimbursement to Wendy $150.17</text>
  </threadedComment>
  <threadedComment ref="H9" dT="2023-01-25T03:53:17.65" personId="{89A965EA-987E-4948-AF9D-F57028B8376E}" id="{B9A20F2D-11D7-408D-B547-BB4D658662F3}">
    <text>Bill Pay to Wendy Sykes for Binder supplies</text>
  </threadedComment>
  <threadedComment ref="B10" dT="2023-01-09T20:16:25.50" personId="{89A965EA-987E-4948-AF9D-F57028B8376E}" id="{8C2CE394-30A0-47F5-BAAC-3C289E97B223}">
    <text>$95 refund on Key Bank credit card fees</text>
  </threadedComment>
  <threadedComment ref="G10" dT="2023-02-13T03:54:39.28" personId="{76BFC03C-312A-49ED-A44B-E242F7FE4B72}" id="{809529EE-4361-4D7B-B650-3E1A7BC1671C}">
    <text>$875 refund from Greater Giving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6" dT="2023-01-15T23:01:58.76" personId="{89A965EA-987E-4948-AF9D-F57028B8376E}" id="{10D02619-B2C3-4859-91AA-9F4B4D1E48AD}">
    <text>$250 from Benevity</text>
  </threadedComment>
  <threadedComment ref="AG6" dT="2023-02-01T20:12:40.28" personId="{76BFC03C-312A-49ED-A44B-E242F7FE4B72}" id="{DEC94E33-7378-40E9-AE3C-1AEAC3454326}">
    <text xml:space="preserve">December credit cards $750
January credit cards $100
</text>
  </threadedComment>
  <threadedComment ref="AG8" dT="2023-02-01T20:13:29.28" personId="{76BFC03C-312A-49ED-A44B-E242F7FE4B72}" id="{0EF2FDFB-B538-4D53-A98B-DDDE9D8D94DF}">
    <text>December credit cards</text>
  </threadedComment>
  <threadedComment ref="F9" dT="2023-01-15T22:08:49.39" personId="{89A965EA-987E-4948-AF9D-F57028B8376E}" id="{765FB502-F7D7-4034-B1FF-F7606877EB84}">
    <text xml:space="preserve">$150 from Benevity
</text>
  </threadedComment>
  <threadedComment ref="L9" dT="2023-01-09T23:38:04.76" personId="{89A965EA-987E-4948-AF9D-F57028B8376E}" id="{78C4CAE9-E459-4699-88A3-6A117BE51ADA}">
    <text>Should be $20,886 $75 is General Fund from Benevity</text>
  </threadedComment>
  <threadedComment ref="AE9" dT="2023-01-31T19:08:59.89" personId="{76BFC03C-312A-49ED-A44B-E242F7FE4B72}" id="{93C7F005-AB56-42A4-9A0A-52F39B70D3E3}">
    <text/>
  </threadedComment>
  <threadedComment ref="AE9" dT="2023-01-31T19:09:48.26" personId="{76BFC03C-312A-49ED-A44B-E242F7FE4B72}" id="{9BE94EF6-5592-4936-8C72-F289C4775E7A}" parentId="{93C7F005-AB56-42A4-9A0A-52F39B70D3E3}">
    <text>Reimbursement directly to Jeremy Blauser's personal Key bank account for uniform purchases on his credit card</text>
  </threadedComment>
  <threadedComment ref="AH9" dT="2023-01-25T03:50:03.01" personId="{89A965EA-987E-4948-AF9D-F57028B8376E}" id="{511D505D-2F78-42B2-B99B-4C4312DD7444}">
    <text xml:space="preserve">Reimburse general fund for grant double payment in Feb 2022 $1,250
</text>
  </threadedComment>
  <threadedComment ref="AH9" dT="2023-01-31T19:18:20.12" personId="{76BFC03C-312A-49ED-A44B-E242F7FE4B72}" id="{255AA5C3-6AD1-4DF9-91D1-E1FD072E8EBE}" parentId="{511D505D-2F78-42B2-B99B-4C4312DD7444}">
    <text>Reimbursement directly to Jeremy Blauser's personal Key bank account for uniform purchases on his credit card</text>
  </threadedComment>
  <threadedComment ref="AB10" dT="2023-01-10T21:31:42.55" personId="{89A965EA-987E-4948-AF9D-F57028B8376E}" id="{D958DA2B-4876-4075-958E-51EC9B4244A5}">
    <text>Bill Pay to Brenda Tomtan 9/26 out of Girls BBBall account-this reimburses them</text>
  </threadedComment>
  <threadedComment ref="AE10" dT="2023-01-10T21:32:30.22" personId="{89A965EA-987E-4948-AF9D-F57028B8376E}" id="{ACB5FE98-4747-4679-955B-74714117C69A}">
    <text>Payment to Jeff Rochon should be for girls basketball</text>
  </threadedComment>
  <threadedComment ref="AG10" dT="2023-02-01T20:13:53.46" personId="{76BFC03C-312A-49ED-A44B-E242F7FE4B72}" id="{E534D06F-B1B0-459D-B034-DE086E65927E}">
    <text>December credit cards $500</text>
  </threadedComment>
  <threadedComment ref="F13" dT="2023-01-15T23:02:14.23" personId="{89A965EA-987E-4948-AF9D-F57028B8376E}" id="{F10C5877-39E6-45BD-9F4D-880BDC33A871}">
    <text>Grant check deposited</text>
  </threadedComment>
  <threadedComment ref="AE15" dT="2023-01-10T21:32:30.22" personId="{89A965EA-987E-4948-AF9D-F57028B8376E}" id="{68777348-837B-4EEA-850F-F6A70DE785D6}">
    <text>Payment to Jeff Rochon should be for girls basketball instead of Boys Swim - transfer done in January $352.56</text>
  </threadedComment>
  <threadedComment ref="AG17" dT="2023-02-13T03:55:43.82" personId="{76BFC03C-312A-49ED-A44B-E242F7FE4B72}" id="{C7364EF9-CAE4-4E42-816D-1B77AF911170}">
    <text>$37.50 Benevity</text>
  </threadedComment>
  <threadedComment ref="X18" dT="2023-01-10T00:57:18.79" personId="{89A965EA-987E-4948-AF9D-F57028B8376E}" id="{D4A6B2B7-7D3C-4276-94CF-00162B4B426C}">
    <text>Only $710 transferred due to credit card return of $600 in October whose original charge was not posted to account in September due to pending refund</text>
  </threadedComment>
  <threadedComment ref="AG20" dT="2023-02-01T20:11:58.93" personId="{76BFC03C-312A-49ED-A44B-E242F7FE4B72}" id="{736E0181-E070-4924-BECD-B78EE9127C5D}">
    <text xml:space="preserve">December credit cards
$50 Matching Gift check
</text>
  </threadedComment>
  <threadedComment ref="AD23" dT="2023-01-08T22:28:20.82" personId="{89A965EA-987E-4948-AF9D-F57028B8376E}" id="{AF3F4789-FB83-4920-871B-78701932E96F}">
    <text>$1,000 Grant
$750 Benevity Matching Gift
$1,000 credit cards</text>
  </threadedComment>
  <threadedComment ref="AG23" dT="2023-02-01T20:11:51.79" personId="{76BFC03C-312A-49ED-A44B-E242F7FE4B72}" id="{9C3ED35D-58D3-4080-A3DB-B1338F9FD3A4}">
    <text>December credit cards $650
January credit cards $300</text>
  </threadedComment>
  <threadedComment ref="AG24" dT="2023-02-01T20:33:52.30" personId="{76BFC03C-312A-49ED-A44B-E242F7FE4B72}" id="{2206F74B-0C7D-4A29-A773-695A0D467485}">
    <text>Transfer donation from Key Bank received in July to General Fund</text>
  </threadedComment>
  <threadedComment ref="AG25" dT="2023-02-01T20:38:19.68" personId="{76BFC03C-312A-49ED-A44B-E242F7FE4B72}" id="{4B358592-BA60-4F8D-A7D6-95B7540E197E}">
    <text>Grant for uniforms</text>
  </threadedComment>
  <threadedComment ref="AG28" dT="2023-02-01T20:35:37.30" personId="{76BFC03C-312A-49ED-A44B-E242F7FE4B72}" id="{487AE508-59A2-4459-9AB4-CC1A026E7056}">
    <text xml:space="preserve">December credit cards $500
January credit cards $435
</text>
  </threadedComment>
  <threadedComment ref="AA29" dT="2023-01-15T23:05:20.10" personId="{89A965EA-987E-4948-AF9D-F57028B8376E}" id="{7C92BCDF-2B08-401D-B241-DCFFFEF64A5F}">
    <text>Grant deposit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75C1A-9516-4FCD-98C1-9C16188687CB}">
  <dimension ref="A1:J57"/>
  <sheetViews>
    <sheetView tabSelected="1" workbookViewId="0">
      <selection activeCell="A22" sqref="A22:XFD22"/>
    </sheetView>
  </sheetViews>
  <sheetFormatPr baseColWidth="10" defaultColWidth="8.83203125" defaultRowHeight="15" x14ac:dyDescent="0.2"/>
  <cols>
    <col min="1" max="1" width="44.5" bestFit="1" customWidth="1"/>
    <col min="2" max="7" width="11.33203125" bestFit="1" customWidth="1"/>
    <col min="8" max="8" width="11.5" style="2" bestFit="1" customWidth="1"/>
    <col min="9" max="9" width="4.83203125" customWidth="1"/>
    <col min="10" max="10" width="11.6640625" bestFit="1" customWidth="1"/>
    <col min="13" max="13" width="11.6640625" bestFit="1" customWidth="1"/>
  </cols>
  <sheetData>
    <row r="1" spans="1:10" x14ac:dyDescent="0.2">
      <c r="A1" s="1" t="s">
        <v>0</v>
      </c>
    </row>
    <row r="2" spans="1:10" x14ac:dyDescent="0.2">
      <c r="A2" s="1" t="s">
        <v>1</v>
      </c>
    </row>
    <row r="3" spans="1:10" ht="48" x14ac:dyDescent="0.2">
      <c r="B3" s="3">
        <v>44743</v>
      </c>
      <c r="C3" s="3">
        <v>44774</v>
      </c>
      <c r="D3" s="3">
        <v>44805</v>
      </c>
      <c r="E3" s="3">
        <v>44835</v>
      </c>
      <c r="F3" s="3">
        <v>44866</v>
      </c>
      <c r="G3" s="3">
        <v>44896</v>
      </c>
      <c r="H3" s="3">
        <v>44927</v>
      </c>
      <c r="J3" s="4" t="s">
        <v>2</v>
      </c>
    </row>
    <row r="4" spans="1:10" x14ac:dyDescent="0.2">
      <c r="A4" t="s">
        <v>3</v>
      </c>
      <c r="B4" s="2">
        <v>31870.46</v>
      </c>
      <c r="C4" s="2">
        <f t="shared" ref="C4:H4" si="0">B19</f>
        <v>31853.73</v>
      </c>
      <c r="D4" s="2">
        <f t="shared" si="0"/>
        <v>33928.589999999997</v>
      </c>
      <c r="E4" s="2">
        <f t="shared" si="0"/>
        <v>35731.759999999995</v>
      </c>
      <c r="F4" s="2">
        <f t="shared" si="0"/>
        <v>40211.889999999992</v>
      </c>
      <c r="G4" s="2">
        <f t="shared" si="0"/>
        <v>31899.609999999993</v>
      </c>
      <c r="H4" s="2">
        <f t="shared" si="0"/>
        <v>35962.899999999994</v>
      </c>
    </row>
    <row r="5" spans="1:10" x14ac:dyDescent="0.2">
      <c r="A5" t="s">
        <v>4</v>
      </c>
      <c r="B5" s="2">
        <f>105+50</f>
        <v>155</v>
      </c>
      <c r="C5" s="2">
        <f>250+100+50</f>
        <v>400</v>
      </c>
      <c r="D5" s="2">
        <f>2980+50+320</f>
        <v>3350</v>
      </c>
      <c r="E5" s="2">
        <f>3920+225+50+2720</f>
        <v>6915</v>
      </c>
      <c r="F5" s="2">
        <f>200+335</f>
        <v>535</v>
      </c>
      <c r="G5" s="2">
        <f>340+720+1430</f>
        <v>2490</v>
      </c>
      <c r="H5" s="2">
        <f>150-100-50+500+87.5</f>
        <v>587.5</v>
      </c>
      <c r="J5" s="5">
        <f>SUM(B5:I5)</f>
        <v>14432.5</v>
      </c>
    </row>
    <row r="6" spans="1:10" x14ac:dyDescent="0.2">
      <c r="A6" t="s">
        <v>5</v>
      </c>
      <c r="B6" s="2"/>
      <c r="C6" s="2"/>
      <c r="D6" s="2"/>
      <c r="E6" s="2"/>
      <c r="F6" s="2">
        <v>5801</v>
      </c>
      <c r="G6" s="2"/>
      <c r="H6" s="2">
        <f>205+2353.04+1911</f>
        <v>4469.04</v>
      </c>
      <c r="J6" s="5">
        <f t="shared" ref="J6:J17" si="1">SUM(B6:I6)</f>
        <v>10270.040000000001</v>
      </c>
    </row>
    <row r="7" spans="1:10" x14ac:dyDescent="0.2">
      <c r="A7" t="s">
        <v>6</v>
      </c>
      <c r="B7" s="2"/>
      <c r="C7" s="2"/>
      <c r="D7" s="2"/>
      <c r="E7" s="2">
        <v>-1097.43</v>
      </c>
      <c r="F7" s="2"/>
      <c r="G7" s="2"/>
      <c r="H7" s="2">
        <f>-238.8-762-200</f>
        <v>-1200.8</v>
      </c>
      <c r="J7" s="5">
        <f>SUM(B7:I7)</f>
        <v>-2298.23</v>
      </c>
    </row>
    <row r="8" spans="1:10" x14ac:dyDescent="0.2">
      <c r="A8" t="s">
        <v>7</v>
      </c>
      <c r="B8" s="2"/>
      <c r="C8" s="2"/>
      <c r="D8" s="2"/>
      <c r="E8" s="2"/>
      <c r="F8" s="2">
        <v>-1151</v>
      </c>
      <c r="G8" s="2">
        <v>-1000</v>
      </c>
      <c r="H8" s="2">
        <f>-714.97+1250</f>
        <v>535.03</v>
      </c>
      <c r="J8" s="5">
        <f t="shared" si="1"/>
        <v>-1615.97</v>
      </c>
    </row>
    <row r="9" spans="1:10" x14ac:dyDescent="0.2">
      <c r="A9" t="s">
        <v>8</v>
      </c>
      <c r="B9" s="2">
        <f>-65-150.17</f>
        <v>-215.17</v>
      </c>
      <c r="C9" s="2">
        <f>-16.53-16.53</f>
        <v>-33.06</v>
      </c>
      <c r="D9" s="2">
        <f>-16.53</f>
        <v>-16.53</v>
      </c>
      <c r="E9" s="2">
        <v>-16.53</v>
      </c>
      <c r="F9" s="2">
        <v>-70</v>
      </c>
      <c r="G9" s="2"/>
      <c r="H9" s="2">
        <v>-241.32</v>
      </c>
      <c r="J9" s="5">
        <f t="shared" si="1"/>
        <v>-592.6099999999999</v>
      </c>
    </row>
    <row r="10" spans="1:10" x14ac:dyDescent="0.2">
      <c r="A10" t="s">
        <v>9</v>
      </c>
      <c r="B10" s="2">
        <f>-51.56+95</f>
        <v>43.44</v>
      </c>
      <c r="C10" s="2">
        <v>-37.08</v>
      </c>
      <c r="D10" s="2">
        <f>-227.64-1156-59.94-10.49</f>
        <v>-1454.07</v>
      </c>
      <c r="E10" s="2">
        <f>-433.81-8.8-4.3</f>
        <v>-446.91</v>
      </c>
      <c r="F10" s="2">
        <f>-341.98-875.3</f>
        <v>-1217.28</v>
      </c>
      <c r="G10" s="2">
        <f>875.3-299.11-2.9</f>
        <v>573.29</v>
      </c>
      <c r="H10" s="2">
        <f>-171.21-298</f>
        <v>-469.21000000000004</v>
      </c>
      <c r="J10" s="5">
        <f t="shared" si="1"/>
        <v>-3007.82</v>
      </c>
    </row>
    <row r="11" spans="1:10" x14ac:dyDescent="0.2">
      <c r="A11" t="s">
        <v>10</v>
      </c>
      <c r="B11" s="2"/>
      <c r="C11" s="2"/>
      <c r="D11" s="2">
        <f>-6420-3566.23</f>
        <v>-9986.23</v>
      </c>
      <c r="E11" s="2"/>
      <c r="F11" s="2"/>
      <c r="G11" s="2"/>
      <c r="J11" s="5">
        <f t="shared" si="1"/>
        <v>-9986.23</v>
      </c>
    </row>
    <row r="12" spans="1:10" x14ac:dyDescent="0.2">
      <c r="A12" t="s">
        <v>11</v>
      </c>
      <c r="B12" s="2"/>
      <c r="C12" s="2"/>
      <c r="D12" s="2">
        <v>-1140</v>
      </c>
      <c r="E12" s="6">
        <f>-285-1254-35</f>
        <v>-1574</v>
      </c>
      <c r="F12" s="6"/>
      <c r="G12" s="2"/>
      <c r="J12" s="5">
        <f>SUM(B12:I12)</f>
        <v>-2714</v>
      </c>
    </row>
    <row r="13" spans="1:10" x14ac:dyDescent="0.2">
      <c r="A13" t="s">
        <v>12</v>
      </c>
      <c r="B13" s="6"/>
      <c r="C13" s="6"/>
      <c r="D13" s="6">
        <f>1375+275</f>
        <v>1650</v>
      </c>
      <c r="E13" s="6"/>
      <c r="F13" s="6"/>
      <c r="G13" s="6"/>
      <c r="H13" s="6"/>
      <c r="J13" s="5">
        <f t="shared" si="1"/>
        <v>1650</v>
      </c>
    </row>
    <row r="14" spans="1:10" x14ac:dyDescent="0.2">
      <c r="A14" t="s">
        <v>13</v>
      </c>
      <c r="B14" s="2"/>
      <c r="C14" s="2"/>
      <c r="D14" s="2">
        <f>-100-15</f>
        <v>-115</v>
      </c>
      <c r="E14" s="2">
        <f>-200-1650</f>
        <v>-1850</v>
      </c>
      <c r="F14" s="2"/>
      <c r="G14" s="2"/>
      <c r="J14" s="5">
        <f t="shared" si="1"/>
        <v>-1965</v>
      </c>
    </row>
    <row r="15" spans="1:10" hidden="1" x14ac:dyDescent="0.2">
      <c r="A15" t="s">
        <v>14</v>
      </c>
      <c r="B15" s="2"/>
      <c r="C15" s="2"/>
      <c r="D15" s="2">
        <v>125</v>
      </c>
      <c r="E15" s="2">
        <f>-125+7760</f>
        <v>7635</v>
      </c>
      <c r="F15" s="2">
        <v>-7760</v>
      </c>
      <c r="G15" s="2"/>
      <c r="J15" s="5">
        <f t="shared" si="1"/>
        <v>0</v>
      </c>
    </row>
    <row r="16" spans="1:10" hidden="1" x14ac:dyDescent="0.2">
      <c r="A16" t="s">
        <v>15</v>
      </c>
      <c r="B16" s="2"/>
      <c r="C16" s="2">
        <f>225+200+90+1230</f>
        <v>1745</v>
      </c>
      <c r="D16" s="2">
        <f>50+2075+1350+2450+710+4400+100</f>
        <v>11135</v>
      </c>
      <c r="E16" s="6">
        <f>225+675+2650+2500</f>
        <v>6050</v>
      </c>
      <c r="F16" s="6">
        <f>100+75+75+1000+350</f>
        <v>1600</v>
      </c>
      <c r="G16" s="6">
        <f>750+650+700+500+500+500</f>
        <v>3600</v>
      </c>
      <c r="H16" s="6"/>
      <c r="J16" s="5">
        <f t="shared" si="1"/>
        <v>24130</v>
      </c>
    </row>
    <row r="17" spans="1:10" hidden="1" x14ac:dyDescent="0.2">
      <c r="A17" t="s">
        <v>16</v>
      </c>
      <c r="B17" s="2"/>
      <c r="C17" s="2"/>
      <c r="D17" s="2">
        <f>-225-200-90-1230</f>
        <v>-1745</v>
      </c>
      <c r="E17" s="6">
        <v>-11135</v>
      </c>
      <c r="F17" s="6">
        <v>-6050</v>
      </c>
      <c r="G17" s="2">
        <v>-1600</v>
      </c>
      <c r="H17" s="2">
        <v>-3600</v>
      </c>
      <c r="J17" s="5">
        <f t="shared" si="1"/>
        <v>-24130</v>
      </c>
    </row>
    <row r="18" spans="1:10" x14ac:dyDescent="0.2">
      <c r="B18" s="2"/>
      <c r="C18" s="2"/>
      <c r="D18" s="2"/>
      <c r="E18" s="2"/>
      <c r="F18" s="2"/>
      <c r="G18" s="2"/>
    </row>
    <row r="19" spans="1:10" x14ac:dyDescent="0.2">
      <c r="A19" t="s">
        <v>17</v>
      </c>
      <c r="B19" s="2">
        <f t="shared" ref="B19:H19" si="2">SUM(B4:B18)</f>
        <v>31853.73</v>
      </c>
      <c r="C19" s="2">
        <f t="shared" si="2"/>
        <v>33928.589999999997</v>
      </c>
      <c r="D19" s="2">
        <f t="shared" si="2"/>
        <v>35731.759999999995</v>
      </c>
      <c r="E19" s="2">
        <f t="shared" si="2"/>
        <v>40211.889999999992</v>
      </c>
      <c r="F19" s="2">
        <f t="shared" si="2"/>
        <v>31899.609999999993</v>
      </c>
      <c r="G19" s="2">
        <f t="shared" si="2"/>
        <v>35962.899999999994</v>
      </c>
      <c r="H19" s="2">
        <f t="shared" si="2"/>
        <v>36043.139999999992</v>
      </c>
    </row>
    <row r="20" spans="1:10" x14ac:dyDescent="0.2">
      <c r="A20" t="s">
        <v>83</v>
      </c>
      <c r="B20" s="2"/>
      <c r="C20" s="2"/>
      <c r="D20" s="2"/>
      <c r="E20" s="2"/>
      <c r="F20" s="2"/>
      <c r="G20" s="2"/>
      <c r="H20" s="2">
        <v>-7900</v>
      </c>
    </row>
    <row r="21" spans="1:10" x14ac:dyDescent="0.2">
      <c r="A21" s="1" t="s">
        <v>84</v>
      </c>
      <c r="B21" s="2"/>
      <c r="C21" s="2"/>
      <c r="D21" s="2"/>
      <c r="E21" s="2"/>
      <c r="F21" s="2"/>
      <c r="G21" s="2"/>
      <c r="H21" s="19">
        <f>SUM(H19:H20)</f>
        <v>28143.139999999992</v>
      </c>
    </row>
    <row r="22" spans="1:10" x14ac:dyDescent="0.2">
      <c r="B22" s="2"/>
      <c r="C22" s="2"/>
      <c r="D22" s="2"/>
      <c r="E22" s="2"/>
      <c r="F22" s="2"/>
      <c r="G22" s="2"/>
    </row>
    <row r="23" spans="1:10" x14ac:dyDescent="0.2">
      <c r="A23" s="1" t="s">
        <v>18</v>
      </c>
      <c r="B23" s="2"/>
      <c r="C23" s="2"/>
      <c r="D23" s="2"/>
      <c r="E23" s="2"/>
      <c r="F23" s="2"/>
      <c r="G23" s="2"/>
    </row>
    <row r="24" spans="1:10" x14ac:dyDescent="0.2">
      <c r="B24" s="2"/>
      <c r="C24" s="2"/>
      <c r="D24" s="2"/>
      <c r="E24" s="2"/>
      <c r="F24" s="2"/>
      <c r="G24" s="2"/>
    </row>
    <row r="25" spans="1:10" x14ac:dyDescent="0.2">
      <c r="A25" t="s">
        <v>19</v>
      </c>
      <c r="B25" s="2">
        <v>17204.84</v>
      </c>
      <c r="C25" s="2">
        <v>18967.759999999998</v>
      </c>
      <c r="D25" s="2">
        <v>30993.69</v>
      </c>
      <c r="E25" s="2">
        <v>37622.78</v>
      </c>
      <c r="F25" s="2">
        <v>29383.07</v>
      </c>
      <c r="G25" s="2">
        <v>36046.36</v>
      </c>
      <c r="H25" s="2">
        <v>36467.980000000003</v>
      </c>
    </row>
    <row r="26" spans="1:10" x14ac:dyDescent="0.2">
      <c r="A26" t="s">
        <v>20</v>
      </c>
      <c r="B26" s="2">
        <v>11368.92</v>
      </c>
      <c r="C26" s="2">
        <v>11335.86</v>
      </c>
      <c r="D26" s="2">
        <v>1333.1</v>
      </c>
      <c r="E26" s="2">
        <v>1316.57</v>
      </c>
      <c r="F26" s="2">
        <v>1316.57</v>
      </c>
      <c r="G26" s="2">
        <v>1316.57</v>
      </c>
      <c r="H26" s="2">
        <v>0</v>
      </c>
    </row>
    <row r="27" spans="1:10" x14ac:dyDescent="0.2">
      <c r="A27" t="s">
        <v>21</v>
      </c>
      <c r="B27" s="2"/>
      <c r="C27" s="2"/>
      <c r="D27" s="2"/>
      <c r="E27" s="2"/>
      <c r="F27" s="2"/>
      <c r="G27" s="2"/>
    </row>
    <row r="28" spans="1:10" x14ac:dyDescent="0.2">
      <c r="A28" t="s">
        <v>22</v>
      </c>
      <c r="B28" s="2"/>
      <c r="C28" s="2">
        <v>345</v>
      </c>
      <c r="D28" s="2">
        <f>725</f>
        <v>725</v>
      </c>
      <c r="E28" s="6">
        <f>240</f>
        <v>240</v>
      </c>
      <c r="F28" s="6"/>
      <c r="G28" s="2">
        <v>500</v>
      </c>
      <c r="H28" s="2">
        <v>66</v>
      </c>
    </row>
    <row r="29" spans="1:10" x14ac:dyDescent="0.2">
      <c r="A29" t="s">
        <v>23</v>
      </c>
      <c r="B29" s="2">
        <f>SUM(B25:B28)</f>
        <v>28573.760000000002</v>
      </c>
      <c r="C29" s="2">
        <f>SUM(C25:C28)</f>
        <v>30648.62</v>
      </c>
      <c r="D29" s="2">
        <f t="shared" ref="D29:H29" si="3">SUM(D25:D28)</f>
        <v>33051.789999999994</v>
      </c>
      <c r="E29" s="2">
        <f t="shared" si="3"/>
        <v>39179.35</v>
      </c>
      <c r="F29" s="2">
        <f t="shared" si="3"/>
        <v>30699.64</v>
      </c>
      <c r="G29" s="2">
        <f t="shared" si="3"/>
        <v>37862.93</v>
      </c>
      <c r="H29" s="2">
        <f t="shared" si="3"/>
        <v>36533.980000000003</v>
      </c>
    </row>
    <row r="30" spans="1:10" x14ac:dyDescent="0.2">
      <c r="B30" s="2"/>
      <c r="C30" s="2"/>
      <c r="D30" s="2"/>
      <c r="E30" s="2"/>
      <c r="F30" s="2"/>
      <c r="G30" s="2"/>
    </row>
    <row r="31" spans="1:10" x14ac:dyDescent="0.2">
      <c r="A31" t="s">
        <v>24</v>
      </c>
      <c r="B31" s="2">
        <f t="shared" ref="B31:I31" si="4">B19-B29</f>
        <v>3279.9699999999975</v>
      </c>
      <c r="C31" s="2">
        <f t="shared" si="4"/>
        <v>3279.9699999999975</v>
      </c>
      <c r="D31" s="2">
        <f t="shared" si="4"/>
        <v>2679.9700000000012</v>
      </c>
      <c r="E31" s="2">
        <f t="shared" si="4"/>
        <v>1032.5399999999936</v>
      </c>
      <c r="F31" s="2">
        <f t="shared" si="4"/>
        <v>1199.9699999999939</v>
      </c>
      <c r="G31" s="2">
        <f t="shared" si="4"/>
        <v>-1900.0300000000061</v>
      </c>
      <c r="H31" s="2">
        <f t="shared" si="4"/>
        <v>-490.84000000001106</v>
      </c>
      <c r="I31" s="2">
        <f t="shared" si="4"/>
        <v>0</v>
      </c>
    </row>
    <row r="32" spans="1:10" x14ac:dyDescent="0.2">
      <c r="B32" s="2"/>
      <c r="C32" s="2"/>
      <c r="D32" s="2"/>
      <c r="E32" s="2"/>
      <c r="F32" s="2"/>
      <c r="G32" s="2"/>
    </row>
    <row r="33" spans="1:10" x14ac:dyDescent="0.2">
      <c r="B33" s="2"/>
      <c r="C33" s="2"/>
      <c r="D33" s="2"/>
      <c r="E33" s="2"/>
      <c r="F33" s="2"/>
      <c r="G33" s="2"/>
    </row>
    <row r="34" spans="1:10" x14ac:dyDescent="0.2">
      <c r="A34" t="s">
        <v>25</v>
      </c>
      <c r="B34" s="2"/>
      <c r="C34" s="2"/>
      <c r="D34" s="2"/>
      <c r="E34" s="2"/>
      <c r="F34" s="2"/>
      <c r="G34" s="2"/>
    </row>
    <row r="35" spans="1:10" x14ac:dyDescent="0.2">
      <c r="B35" s="2"/>
      <c r="C35" s="2"/>
      <c r="D35" s="2"/>
      <c r="E35" s="2"/>
      <c r="F35" s="2"/>
      <c r="G35" s="2"/>
    </row>
    <row r="36" spans="1:10" x14ac:dyDescent="0.2">
      <c r="A36" t="s">
        <v>3</v>
      </c>
      <c r="B36" s="2">
        <v>228662.2</v>
      </c>
      <c r="C36" s="2">
        <f t="shared" ref="C36:H36" si="5">B40</f>
        <v>223706.40000000002</v>
      </c>
      <c r="D36" s="2">
        <f t="shared" si="5"/>
        <v>230554.64000000004</v>
      </c>
      <c r="E36" s="2">
        <f t="shared" si="5"/>
        <v>240509.30000000005</v>
      </c>
      <c r="F36" s="2">
        <f t="shared" si="5"/>
        <v>227423.21000000002</v>
      </c>
      <c r="G36" s="2">
        <f t="shared" si="5"/>
        <v>235462.18000000002</v>
      </c>
      <c r="H36" s="2">
        <f t="shared" si="5"/>
        <v>225754.87000000002</v>
      </c>
    </row>
    <row r="37" spans="1:10" x14ac:dyDescent="0.2">
      <c r="A37" t="s">
        <v>4</v>
      </c>
      <c r="B37" s="2">
        <v>1820.25</v>
      </c>
      <c r="C37" s="2">
        <v>14548.35</v>
      </c>
      <c r="D37" s="2">
        <v>24214.86</v>
      </c>
      <c r="E37" s="2">
        <v>23737.68</v>
      </c>
      <c r="F37" s="2">
        <v>34711.07</v>
      </c>
      <c r="G37" s="2">
        <v>16250.720000000001</v>
      </c>
      <c r="H37" s="2">
        <v>7363.58</v>
      </c>
      <c r="J37" s="5">
        <f>SUM(B37:H37)</f>
        <v>122646.51</v>
      </c>
    </row>
    <row r="38" spans="1:10" x14ac:dyDescent="0.2">
      <c r="A38" t="s">
        <v>26</v>
      </c>
      <c r="B38" s="2">
        <v>-6776.0499999999993</v>
      </c>
      <c r="C38" s="2">
        <v>-7700.11</v>
      </c>
      <c r="D38" s="2">
        <v>-14260.199999999999</v>
      </c>
      <c r="E38" s="2">
        <v>-36823.770000000004</v>
      </c>
      <c r="F38" s="2">
        <v>-26672.1</v>
      </c>
      <c r="G38" s="2">
        <v>-25958.03</v>
      </c>
      <c r="H38" s="2">
        <v>-19491.349999999999</v>
      </c>
      <c r="J38" s="5">
        <f>SUM(B38:H38)</f>
        <v>-137681.61000000002</v>
      </c>
    </row>
    <row r="39" spans="1:10" x14ac:dyDescent="0.2">
      <c r="B39" s="2"/>
      <c r="C39" s="2"/>
      <c r="D39" s="2"/>
      <c r="E39" s="2"/>
      <c r="F39" s="2"/>
      <c r="G39" s="2"/>
    </row>
    <row r="40" spans="1:10" x14ac:dyDescent="0.2">
      <c r="A40" t="s">
        <v>27</v>
      </c>
      <c r="B40" s="2">
        <f t="shared" ref="B40:H40" si="6">SUM(B36:B39)</f>
        <v>223706.40000000002</v>
      </c>
      <c r="C40" s="2">
        <f t="shared" si="6"/>
        <v>230554.64000000004</v>
      </c>
      <c r="D40" s="2">
        <f t="shared" si="6"/>
        <v>240509.30000000005</v>
      </c>
      <c r="E40" s="2">
        <f t="shared" si="6"/>
        <v>227423.21000000002</v>
      </c>
      <c r="F40" s="2">
        <f t="shared" si="6"/>
        <v>235462.18000000002</v>
      </c>
      <c r="G40" s="2">
        <f t="shared" si="6"/>
        <v>225754.87000000002</v>
      </c>
      <c r="H40" s="2">
        <f t="shared" si="6"/>
        <v>213627.1</v>
      </c>
    </row>
    <row r="41" spans="1:10" x14ac:dyDescent="0.2">
      <c r="B41" s="2"/>
      <c r="C41" s="2"/>
      <c r="D41" s="2"/>
      <c r="E41" s="2"/>
      <c r="F41" s="2"/>
      <c r="G41" s="2"/>
    </row>
    <row r="42" spans="1:10" x14ac:dyDescent="0.2">
      <c r="A42" s="1" t="s">
        <v>28</v>
      </c>
      <c r="B42" s="2"/>
      <c r="C42" s="2"/>
      <c r="D42" s="2"/>
      <c r="E42" s="2"/>
      <c r="F42" s="2"/>
      <c r="G42" s="2"/>
    </row>
    <row r="43" spans="1:10" x14ac:dyDescent="0.2">
      <c r="A43" t="s">
        <v>29</v>
      </c>
      <c r="B43" s="2">
        <v>226986.37000000005</v>
      </c>
      <c r="C43" s="2">
        <v>233834.61000000004</v>
      </c>
      <c r="D43" s="2">
        <v>243189.27000000005</v>
      </c>
      <c r="E43" s="2">
        <v>228455.75000000003</v>
      </c>
      <c r="F43" s="2">
        <v>236662.15000000005</v>
      </c>
      <c r="G43" s="2">
        <v>223854.84000000003</v>
      </c>
      <c r="H43" s="2">
        <v>213136.26</v>
      </c>
    </row>
    <row r="44" spans="1:10" x14ac:dyDescent="0.2">
      <c r="B44" s="2"/>
      <c r="C44" s="2"/>
      <c r="D44" s="2"/>
      <c r="E44" s="2"/>
      <c r="F44" s="2"/>
      <c r="G44" s="2"/>
    </row>
    <row r="45" spans="1:10" x14ac:dyDescent="0.2">
      <c r="A45" t="s">
        <v>24</v>
      </c>
      <c r="B45" s="2">
        <f t="shared" ref="B45:H45" si="7">B40-B43</f>
        <v>-3279.9700000000303</v>
      </c>
      <c r="C45" s="2">
        <f t="shared" si="7"/>
        <v>-3279.9700000000012</v>
      </c>
      <c r="D45" s="2">
        <f t="shared" si="7"/>
        <v>-2679.9700000000012</v>
      </c>
      <c r="E45" s="2">
        <f t="shared" si="7"/>
        <v>-1032.5400000000081</v>
      </c>
      <c r="F45" s="2">
        <f t="shared" si="7"/>
        <v>-1199.9700000000303</v>
      </c>
      <c r="G45" s="2">
        <f t="shared" si="7"/>
        <v>1900.0299999999988</v>
      </c>
      <c r="H45" s="2">
        <f t="shared" si="7"/>
        <v>490.83999999999651</v>
      </c>
    </row>
    <row r="46" spans="1:10" x14ac:dyDescent="0.2">
      <c r="B46" s="2"/>
      <c r="C46" s="2"/>
      <c r="D46" s="2"/>
      <c r="E46" s="2"/>
      <c r="F46" s="2"/>
      <c r="G46" s="2"/>
    </row>
    <row r="48" spans="1:10" x14ac:dyDescent="0.2">
      <c r="B48" s="5">
        <f t="shared" ref="B48:H48" si="8">+B31+B45</f>
        <v>-3.2741809263825417E-11</v>
      </c>
      <c r="C48" s="5">
        <f t="shared" si="8"/>
        <v>-3.637978807091713E-12</v>
      </c>
      <c r="D48" s="5">
        <f t="shared" si="8"/>
        <v>0</v>
      </c>
      <c r="E48" s="5">
        <f t="shared" si="8"/>
        <v>-1.4551915228366852E-11</v>
      </c>
      <c r="F48" s="5">
        <f t="shared" si="8"/>
        <v>-3.637978807091713E-11</v>
      </c>
      <c r="G48" s="5">
        <f t="shared" si="8"/>
        <v>-7.2759576141834259E-12</v>
      </c>
      <c r="H48" s="2">
        <f t="shared" si="8"/>
        <v>-1.4551915228366852E-11</v>
      </c>
    </row>
    <row r="53" spans="1:1" ht="16" x14ac:dyDescent="0.2">
      <c r="A53" s="7"/>
    </row>
    <row r="54" spans="1:1" ht="16" x14ac:dyDescent="0.2">
      <c r="A54" s="7"/>
    </row>
    <row r="55" spans="1:1" ht="16" x14ac:dyDescent="0.2">
      <c r="A55" s="7"/>
    </row>
    <row r="56" spans="1:1" ht="16" x14ac:dyDescent="0.2">
      <c r="A56" s="7"/>
    </row>
    <row r="57" spans="1:1" ht="16" x14ac:dyDescent="0.2">
      <c r="A57" s="8"/>
    </row>
  </sheetData>
  <conditionalFormatting sqref="A53:A57">
    <cfRule type="expression" dxfId="1" priority="1" stopIfTrue="1">
      <formula>"MOD(ROW(),2) = 1"</formula>
    </cfRule>
  </conditionalFormatting>
  <pageMargins left="0.25" right="0.25" top="0.75" bottom="0.75" header="0.3" footer="0.3"/>
  <pageSetup scale="90" orientation="landscape" horizontalDpi="4294967293" verticalDpi="0" r:id="rId1"/>
  <rowBreaks count="1" manualBreakCount="1">
    <brk id="2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BAF63-D56C-4ECC-AAB7-CF4899D11CE7}">
  <dimension ref="A1:AL47"/>
  <sheetViews>
    <sheetView workbookViewId="0">
      <pane xSplit="1" topLeftCell="AB1" activePane="topRight" state="frozen"/>
      <selection pane="topRight" activeCell="AL20" sqref="AL20"/>
    </sheetView>
  </sheetViews>
  <sheetFormatPr baseColWidth="10" defaultColWidth="8.83203125" defaultRowHeight="15" x14ac:dyDescent="0.2"/>
  <cols>
    <col min="1" max="1" width="20.6640625" bestFit="1" customWidth="1"/>
    <col min="2" max="2" width="14.6640625" hidden="1" customWidth="1"/>
    <col min="3" max="4" width="13.83203125" hidden="1" customWidth="1"/>
    <col min="5" max="5" width="15.1640625" hidden="1" customWidth="1"/>
    <col min="6" max="6" width="14.5" hidden="1" customWidth="1"/>
    <col min="7" max="7" width="12.5" hidden="1" customWidth="1"/>
    <col min="8" max="8" width="15.1640625" hidden="1" customWidth="1"/>
    <col min="9" max="10" width="13.83203125" hidden="1" customWidth="1"/>
    <col min="11" max="11" width="15.1640625" hidden="1" customWidth="1"/>
    <col min="12" max="13" width="13.83203125" hidden="1" customWidth="1"/>
    <col min="14" max="14" width="15.1640625" bestFit="1" customWidth="1"/>
    <col min="15" max="16" width="12.83203125" bestFit="1" customWidth="1"/>
    <col min="17" max="17" width="15.1640625" bestFit="1" customWidth="1"/>
    <col min="18" max="18" width="13.83203125" bestFit="1" customWidth="1"/>
    <col min="19" max="19" width="12.83203125" bestFit="1" customWidth="1"/>
    <col min="20" max="20" width="15.1640625" bestFit="1" customWidth="1"/>
    <col min="21" max="22" width="13.83203125" bestFit="1" customWidth="1"/>
    <col min="23" max="23" width="15.1640625" bestFit="1" customWidth="1"/>
    <col min="24" max="25" width="13.83203125" bestFit="1" customWidth="1"/>
    <col min="26" max="26" width="15.1640625" bestFit="1" customWidth="1"/>
    <col min="27" max="28" width="13.83203125" bestFit="1" customWidth="1"/>
    <col min="29" max="29" width="15.1640625" bestFit="1" customWidth="1"/>
    <col min="30" max="31" width="13.83203125" bestFit="1" customWidth="1"/>
    <col min="32" max="32" width="15.1640625" bestFit="1" customWidth="1"/>
    <col min="33" max="35" width="15.1640625" customWidth="1"/>
    <col min="36" max="36" width="19.5" bestFit="1" customWidth="1"/>
    <col min="37" max="37" width="11" bestFit="1" customWidth="1"/>
    <col min="38" max="38" width="16.83203125" style="9" customWidth="1"/>
  </cols>
  <sheetData>
    <row r="1" spans="1:38" x14ac:dyDescent="0.2">
      <c r="A1" s="1" t="s">
        <v>82</v>
      </c>
    </row>
    <row r="2" spans="1:38" s="1" customFormat="1" ht="16" thickBot="1" x14ac:dyDescent="0.25">
      <c r="C2" s="1" t="s">
        <v>81</v>
      </c>
      <c r="F2" s="1" t="s">
        <v>80</v>
      </c>
      <c r="I2" s="1" t="s">
        <v>79</v>
      </c>
      <c r="L2" s="1" t="s">
        <v>78</v>
      </c>
      <c r="N2" s="1" t="s">
        <v>77</v>
      </c>
      <c r="O2" s="1" t="s">
        <v>76</v>
      </c>
      <c r="P2" s="1" t="s">
        <v>76</v>
      </c>
      <c r="Q2" s="1" t="s">
        <v>69</v>
      </c>
      <c r="R2" s="1" t="s">
        <v>75</v>
      </c>
      <c r="S2" s="1" t="s">
        <v>75</v>
      </c>
      <c r="T2" s="1" t="s">
        <v>69</v>
      </c>
      <c r="U2" s="1" t="s">
        <v>74</v>
      </c>
      <c r="V2" s="1" t="s">
        <v>74</v>
      </c>
      <c r="W2" s="1" t="s">
        <v>69</v>
      </c>
      <c r="X2" s="1" t="s">
        <v>73</v>
      </c>
      <c r="Y2" s="1" t="s">
        <v>73</v>
      </c>
      <c r="Z2" s="1" t="s">
        <v>69</v>
      </c>
      <c r="AA2" s="1" t="s">
        <v>72</v>
      </c>
      <c r="AB2" s="1" t="s">
        <v>72</v>
      </c>
      <c r="AC2" s="1" t="s">
        <v>69</v>
      </c>
      <c r="AD2" s="1" t="s">
        <v>71</v>
      </c>
      <c r="AE2" s="1" t="s">
        <v>71</v>
      </c>
      <c r="AF2" s="1" t="s">
        <v>69</v>
      </c>
      <c r="AG2" s="1" t="s">
        <v>70</v>
      </c>
      <c r="AH2" s="1" t="s">
        <v>70</v>
      </c>
      <c r="AI2" s="1" t="s">
        <v>69</v>
      </c>
      <c r="AJ2" s="18">
        <v>44957</v>
      </c>
      <c r="AL2" s="17"/>
    </row>
    <row r="3" spans="1:38" s="1" customFormat="1" ht="17" thickBot="1" x14ac:dyDescent="0.25">
      <c r="A3" s="16" t="s">
        <v>68</v>
      </c>
      <c r="B3" s="1" t="s">
        <v>67</v>
      </c>
      <c r="C3" s="1" t="s">
        <v>66</v>
      </c>
      <c r="D3" s="1" t="s">
        <v>63</v>
      </c>
      <c r="E3" s="1" t="s">
        <v>65</v>
      </c>
      <c r="F3" s="1" t="s">
        <v>64</v>
      </c>
      <c r="G3" s="1" t="s">
        <v>63</v>
      </c>
      <c r="H3" s="1" t="s">
        <v>62</v>
      </c>
      <c r="I3" s="1" t="s">
        <v>66</v>
      </c>
      <c r="J3" s="1" t="s">
        <v>63</v>
      </c>
      <c r="K3" s="1" t="s">
        <v>65</v>
      </c>
      <c r="L3" s="1" t="s">
        <v>64</v>
      </c>
      <c r="M3" s="1" t="s">
        <v>63</v>
      </c>
      <c r="N3" s="1" t="s">
        <v>62</v>
      </c>
      <c r="O3" s="1" t="s">
        <v>66</v>
      </c>
      <c r="P3" s="1" t="s">
        <v>63</v>
      </c>
      <c r="Q3" s="1" t="s">
        <v>65</v>
      </c>
      <c r="R3" s="1" t="s">
        <v>64</v>
      </c>
      <c r="S3" s="1" t="s">
        <v>63</v>
      </c>
      <c r="T3" s="1" t="s">
        <v>62</v>
      </c>
      <c r="U3" s="1" t="s">
        <v>66</v>
      </c>
      <c r="V3" s="1" t="s">
        <v>63</v>
      </c>
      <c r="W3" s="1" t="s">
        <v>65</v>
      </c>
      <c r="X3" s="1" t="s">
        <v>64</v>
      </c>
      <c r="Y3" s="1" t="s">
        <v>63</v>
      </c>
      <c r="Z3" s="1" t="s">
        <v>62</v>
      </c>
      <c r="AA3" s="1" t="s">
        <v>64</v>
      </c>
      <c r="AB3" s="15" t="s">
        <v>63</v>
      </c>
      <c r="AC3" s="15" t="s">
        <v>62</v>
      </c>
      <c r="AD3" s="15" t="s">
        <v>64</v>
      </c>
      <c r="AE3" s="15" t="s">
        <v>63</v>
      </c>
      <c r="AF3" s="15" t="s">
        <v>62</v>
      </c>
      <c r="AG3" s="15" t="s">
        <v>64</v>
      </c>
      <c r="AH3" s="15" t="s">
        <v>63</v>
      </c>
      <c r="AI3" s="15" t="s">
        <v>62</v>
      </c>
      <c r="AJ3" s="15" t="s">
        <v>61</v>
      </c>
      <c r="AK3" s="15" t="s">
        <v>24</v>
      </c>
      <c r="AL3" s="14" t="s">
        <v>60</v>
      </c>
    </row>
    <row r="4" spans="1:38" ht="16" x14ac:dyDescent="0.2">
      <c r="A4" s="13"/>
    </row>
    <row r="5" spans="1:38" ht="16" x14ac:dyDescent="0.2">
      <c r="A5" s="7" t="s">
        <v>59</v>
      </c>
      <c r="B5" s="2">
        <v>-546.1800000000004</v>
      </c>
      <c r="C5" s="6"/>
      <c r="D5" s="6"/>
      <c r="E5" s="6">
        <f t="shared" ref="E5:E31" si="0">+B5+C5-D5</f>
        <v>-546.1800000000004</v>
      </c>
      <c r="F5" s="6"/>
      <c r="G5" s="2"/>
      <c r="H5" s="2">
        <f t="shared" ref="H5:H31" si="1">+E5+F5-G5</f>
        <v>-546.1800000000004</v>
      </c>
      <c r="I5" s="2"/>
      <c r="J5" s="2"/>
      <c r="K5" s="2">
        <f t="shared" ref="K5:K31" si="2">+H5+I5-J5</f>
        <v>-546.1800000000004</v>
      </c>
      <c r="L5" s="2"/>
      <c r="M5" s="2"/>
      <c r="N5" s="2">
        <f t="shared" ref="N5:N31" si="3">+K5+L5-M5</f>
        <v>-546.1800000000004</v>
      </c>
      <c r="O5" s="2"/>
      <c r="P5" s="2"/>
      <c r="Q5" s="2">
        <f t="shared" ref="Q5:Q31" si="4">+N5+O5-P5</f>
        <v>-546.1800000000004</v>
      </c>
      <c r="R5" s="2"/>
      <c r="S5" s="2"/>
      <c r="T5" s="2">
        <f t="shared" ref="T5:T31" si="5">+Q5+R5-S5</f>
        <v>-546.1800000000004</v>
      </c>
      <c r="U5" s="2"/>
      <c r="V5" s="2"/>
      <c r="W5" s="2">
        <f t="shared" ref="W5:W31" si="6">+T5+U5-V5</f>
        <v>-546.1800000000004</v>
      </c>
      <c r="X5" s="2"/>
      <c r="Y5" s="2"/>
      <c r="Z5" s="2">
        <f t="shared" ref="Z5:Z31" si="7">+W5+X5-Y5</f>
        <v>-546.1800000000004</v>
      </c>
      <c r="AA5" s="2"/>
      <c r="AB5" s="2"/>
      <c r="AC5" s="2">
        <f t="shared" ref="AC5:AC31" si="8">+Z5+AA5-AB5</f>
        <v>-546.1800000000004</v>
      </c>
      <c r="AD5" s="2"/>
      <c r="AE5" s="2"/>
      <c r="AF5" s="2">
        <f t="shared" ref="AF5:AF31" si="9">+AC5+AD5-AE5</f>
        <v>-546.1800000000004</v>
      </c>
      <c r="AG5" s="2"/>
      <c r="AH5" s="2"/>
      <c r="AI5" s="2">
        <f t="shared" ref="AI5:AI31" si="10">+AF5+AG5-AH5</f>
        <v>-546.1800000000004</v>
      </c>
      <c r="AJ5" s="2">
        <f>'[1]Team Account Recons'!AN3</f>
        <v>0</v>
      </c>
      <c r="AK5" s="2">
        <f t="shared" ref="AK5:AK31" si="11">AI5-AJ5</f>
        <v>-546.1800000000004</v>
      </c>
      <c r="AL5" t="s">
        <v>58</v>
      </c>
    </row>
    <row r="6" spans="1:38" ht="16" x14ac:dyDescent="0.2">
      <c r="A6" s="7" t="s">
        <v>57</v>
      </c>
      <c r="B6" s="2">
        <v>33964.94</v>
      </c>
      <c r="C6" s="6"/>
      <c r="D6" s="6"/>
      <c r="E6" s="6">
        <f t="shared" si="0"/>
        <v>33964.94</v>
      </c>
      <c r="F6" s="6">
        <f>506.3+250</f>
        <v>756.3</v>
      </c>
      <c r="G6" s="2">
        <f>66.15+892.96+596.44+165.15+300</f>
        <v>2020.7000000000003</v>
      </c>
      <c r="H6" s="2">
        <f t="shared" si="1"/>
        <v>32700.540000000005</v>
      </c>
      <c r="I6" s="2">
        <v>375</v>
      </c>
      <c r="J6" s="2">
        <f>496.13</f>
        <v>496.13</v>
      </c>
      <c r="K6" s="2">
        <f t="shared" si="2"/>
        <v>32579.410000000007</v>
      </c>
      <c r="L6" s="2">
        <f>375+300+375+625+375+500+375+250+375</f>
        <v>3550</v>
      </c>
      <c r="M6" s="2">
        <f>385+3125</f>
        <v>3510</v>
      </c>
      <c r="N6" s="2">
        <f t="shared" si="3"/>
        <v>32619.410000000003</v>
      </c>
      <c r="O6" s="2">
        <f>500+110.25+75</f>
        <v>685.25</v>
      </c>
      <c r="P6" s="2">
        <f>123.16+328.98+300+755.5+500</f>
        <v>2007.6399999999999</v>
      </c>
      <c r="Q6" s="2">
        <f t="shared" si="4"/>
        <v>31297.020000000004</v>
      </c>
      <c r="R6" s="2"/>
      <c r="S6" s="2">
        <v>3288.54</v>
      </c>
      <c r="T6" s="2">
        <f t="shared" si="5"/>
        <v>28008.480000000003</v>
      </c>
      <c r="U6" s="2">
        <v>500</v>
      </c>
      <c r="V6" s="2">
        <v>600</v>
      </c>
      <c r="W6" s="2">
        <f t="shared" si="6"/>
        <v>27908.480000000003</v>
      </c>
      <c r="X6" s="2"/>
      <c r="Y6" s="2"/>
      <c r="Z6" s="2">
        <f t="shared" si="7"/>
        <v>27908.480000000003</v>
      </c>
      <c r="AA6" s="2"/>
      <c r="AB6" s="2">
        <f>33.05+16.53+16.53+16.53+16.53+33.05+66.11+33.05+0.01+33.04</f>
        <v>264.43</v>
      </c>
      <c r="AC6" s="2">
        <f t="shared" si="8"/>
        <v>27644.050000000003</v>
      </c>
      <c r="AD6" s="2">
        <f>100+450+1510</f>
        <v>2060</v>
      </c>
      <c r="AE6" s="2">
        <v>1970.99</v>
      </c>
      <c r="AF6" s="2">
        <f t="shared" si="9"/>
        <v>27733.06</v>
      </c>
      <c r="AG6" s="2">
        <f>750+557.43+50.68+125+375+100</f>
        <v>1958.11</v>
      </c>
      <c r="AH6" s="2">
        <v>4334.83</v>
      </c>
      <c r="AI6" s="2">
        <f t="shared" si="10"/>
        <v>25356.340000000004</v>
      </c>
      <c r="AJ6" s="2">
        <f>'[1]Team Account Recons'!AN4</f>
        <v>25256.34</v>
      </c>
      <c r="AK6" s="2">
        <f t="shared" si="11"/>
        <v>100.00000000000364</v>
      </c>
      <c r="AL6" s="9" t="s">
        <v>31</v>
      </c>
    </row>
    <row r="7" spans="1:38" ht="16" x14ac:dyDescent="0.2">
      <c r="A7" s="7" t="s">
        <v>56</v>
      </c>
      <c r="B7" s="2">
        <v>9892.7899999999991</v>
      </c>
      <c r="C7" s="6"/>
      <c r="D7" s="6"/>
      <c r="E7" s="6">
        <f t="shared" si="0"/>
        <v>9892.7899999999991</v>
      </c>
      <c r="F7" s="6"/>
      <c r="G7" s="2"/>
      <c r="H7" s="2">
        <f t="shared" si="1"/>
        <v>9892.7899999999991</v>
      </c>
      <c r="I7" s="2"/>
      <c r="J7" s="2"/>
      <c r="K7" s="2">
        <f t="shared" si="2"/>
        <v>9892.7899999999991</v>
      </c>
      <c r="L7" s="2"/>
      <c r="M7" s="2"/>
      <c r="N7" s="2">
        <f t="shared" si="3"/>
        <v>9892.7899999999991</v>
      </c>
      <c r="O7" s="2"/>
      <c r="P7" s="2"/>
      <c r="Q7" s="2">
        <f t="shared" si="4"/>
        <v>9892.7899999999991</v>
      </c>
      <c r="R7" s="2"/>
      <c r="S7" s="2"/>
      <c r="T7" s="2">
        <f t="shared" si="5"/>
        <v>9892.7899999999991</v>
      </c>
      <c r="U7" s="2">
        <f>100+200</f>
        <v>300</v>
      </c>
      <c r="V7" s="2">
        <f>150+180+180</f>
        <v>510</v>
      </c>
      <c r="W7" s="2">
        <f t="shared" si="6"/>
        <v>9682.7899999999991</v>
      </c>
      <c r="X7" s="2">
        <f>2075+575+400</f>
        <v>3050</v>
      </c>
      <c r="Y7" s="2">
        <v>300</v>
      </c>
      <c r="Z7" s="2">
        <f t="shared" si="7"/>
        <v>12432.789999999999</v>
      </c>
      <c r="AA7" s="2">
        <v>225</v>
      </c>
      <c r="AB7" s="2"/>
      <c r="AC7" s="2">
        <f t="shared" si="8"/>
        <v>12657.789999999999</v>
      </c>
      <c r="AD7" s="2">
        <f>75+100</f>
        <v>175</v>
      </c>
      <c r="AE7" s="2"/>
      <c r="AF7" s="2">
        <f t="shared" si="9"/>
        <v>12832.789999999999</v>
      </c>
      <c r="AG7" s="2">
        <v>50</v>
      </c>
      <c r="AH7" s="2"/>
      <c r="AI7" s="2">
        <f t="shared" si="10"/>
        <v>12882.789999999999</v>
      </c>
      <c r="AJ7" s="2">
        <f>'[1]Team Account Recons'!AN5</f>
        <v>12882.79</v>
      </c>
      <c r="AK7" s="2">
        <f t="shared" si="11"/>
        <v>0</v>
      </c>
      <c r="AL7" s="12"/>
    </row>
    <row r="8" spans="1:38" ht="16" x14ac:dyDescent="0.2">
      <c r="A8" s="7" t="s">
        <v>55</v>
      </c>
      <c r="B8" s="2">
        <v>3921.89</v>
      </c>
      <c r="C8" s="6"/>
      <c r="D8" s="6"/>
      <c r="E8" s="6">
        <f t="shared" si="0"/>
        <v>3921.89</v>
      </c>
      <c r="F8" s="6"/>
      <c r="G8" s="2"/>
      <c r="H8" s="2">
        <f t="shared" si="1"/>
        <v>3921.89</v>
      </c>
      <c r="I8" s="2"/>
      <c r="J8" s="2"/>
      <c r="K8" s="2">
        <f t="shared" si="2"/>
        <v>3921.89</v>
      </c>
      <c r="L8" s="2"/>
      <c r="M8" s="2"/>
      <c r="N8" s="2">
        <f t="shared" si="3"/>
        <v>3921.89</v>
      </c>
      <c r="O8" s="2"/>
      <c r="P8" s="2"/>
      <c r="Q8" s="2">
        <f t="shared" si="4"/>
        <v>3921.89</v>
      </c>
      <c r="R8" s="2"/>
      <c r="S8" s="2"/>
      <c r="T8" s="2">
        <f t="shared" si="5"/>
        <v>3921.89</v>
      </c>
      <c r="U8" s="2"/>
      <c r="V8" s="2"/>
      <c r="W8" s="2">
        <f t="shared" si="6"/>
        <v>3921.89</v>
      </c>
      <c r="X8" s="2"/>
      <c r="Y8" s="2"/>
      <c r="Z8" s="2">
        <f t="shared" si="7"/>
        <v>3921.89</v>
      </c>
      <c r="AA8" s="2"/>
      <c r="AB8" s="2"/>
      <c r="AC8" s="2">
        <f t="shared" si="8"/>
        <v>3921.89</v>
      </c>
      <c r="AD8" s="2"/>
      <c r="AE8" s="2"/>
      <c r="AF8" s="2">
        <f t="shared" si="9"/>
        <v>3921.89</v>
      </c>
      <c r="AG8" s="2">
        <v>700</v>
      </c>
      <c r="AH8" s="2"/>
      <c r="AI8" s="2">
        <f t="shared" si="10"/>
        <v>4621.8899999999994</v>
      </c>
      <c r="AJ8" s="2">
        <f>'[1]Team Account Recons'!AN6</f>
        <v>4622</v>
      </c>
      <c r="AK8" s="2">
        <f t="shared" si="11"/>
        <v>-0.11000000000058208</v>
      </c>
    </row>
    <row r="9" spans="1:38" ht="16" x14ac:dyDescent="0.2">
      <c r="A9" s="7" t="s">
        <v>54</v>
      </c>
      <c r="B9" s="2">
        <v>3763.4399999999996</v>
      </c>
      <c r="C9" s="6">
        <f>6962</f>
        <v>6962</v>
      </c>
      <c r="D9" s="6"/>
      <c r="E9" s="6">
        <f t="shared" si="0"/>
        <v>10725.439999999999</v>
      </c>
      <c r="F9" s="6">
        <f>4000+450</f>
        <v>4450</v>
      </c>
      <c r="G9" s="2"/>
      <c r="H9" s="2">
        <f t="shared" si="1"/>
        <v>15175.439999999999</v>
      </c>
      <c r="I9" s="2">
        <f>8705.4+850+150</f>
        <v>9705.4</v>
      </c>
      <c r="J9" s="2">
        <f>185+184.12+37</f>
        <v>406.12</v>
      </c>
      <c r="K9" s="2">
        <f t="shared" si="2"/>
        <v>24474.719999999998</v>
      </c>
      <c r="L9" s="2">
        <f>20886</f>
        <v>20886</v>
      </c>
      <c r="M9" s="2">
        <f>43.98</f>
        <v>43.98</v>
      </c>
      <c r="N9" s="2">
        <f t="shared" si="3"/>
        <v>45316.74</v>
      </c>
      <c r="O9" s="2"/>
      <c r="P9" s="2">
        <v>700</v>
      </c>
      <c r="Q9" s="2">
        <f t="shared" si="4"/>
        <v>44616.74</v>
      </c>
      <c r="R9" s="2"/>
      <c r="S9" s="2"/>
      <c r="T9" s="2">
        <f t="shared" si="5"/>
        <v>44616.74</v>
      </c>
      <c r="U9" s="2"/>
      <c r="V9" s="2"/>
      <c r="W9" s="2">
        <f t="shared" si="6"/>
        <v>44616.74</v>
      </c>
      <c r="X9" s="2"/>
      <c r="Y9" s="2"/>
      <c r="Z9" s="2">
        <f t="shared" si="7"/>
        <v>44616.74</v>
      </c>
      <c r="AA9" s="2"/>
      <c r="AB9" s="2"/>
      <c r="AC9" s="2">
        <f t="shared" si="8"/>
        <v>44616.74</v>
      </c>
      <c r="AD9" s="2"/>
      <c r="AE9" s="2">
        <f>1650+3300</f>
        <v>4950</v>
      </c>
      <c r="AF9" s="2">
        <f t="shared" si="9"/>
        <v>39666.74</v>
      </c>
      <c r="AG9" s="2"/>
      <c r="AH9" s="2">
        <f>1250+1570+4854</f>
        <v>7674</v>
      </c>
      <c r="AI9" s="2">
        <f t="shared" si="10"/>
        <v>31992.739999999998</v>
      </c>
      <c r="AJ9" s="2">
        <f>'[1]Team Account Recons'!AN7</f>
        <v>31992.74</v>
      </c>
      <c r="AK9" s="2">
        <f t="shared" si="11"/>
        <v>0</v>
      </c>
    </row>
    <row r="10" spans="1:38" ht="16" x14ac:dyDescent="0.2">
      <c r="A10" s="7" t="s">
        <v>53</v>
      </c>
      <c r="B10" s="2">
        <v>1206.54</v>
      </c>
      <c r="C10" s="6"/>
      <c r="D10" s="6"/>
      <c r="E10" s="6">
        <f t="shared" si="0"/>
        <v>1206.54</v>
      </c>
      <c r="F10" s="6"/>
      <c r="G10" s="2"/>
      <c r="H10" s="2">
        <f t="shared" si="1"/>
        <v>1206.54</v>
      </c>
      <c r="I10" s="2"/>
      <c r="J10" s="2"/>
      <c r="K10" s="2">
        <f t="shared" si="2"/>
        <v>1206.54</v>
      </c>
      <c r="L10" s="2"/>
      <c r="M10" s="2"/>
      <c r="N10" s="2">
        <f t="shared" si="3"/>
        <v>1206.54</v>
      </c>
      <c r="O10" s="2"/>
      <c r="P10" s="2"/>
      <c r="Q10" s="2">
        <f t="shared" si="4"/>
        <v>1206.54</v>
      </c>
      <c r="R10" s="2"/>
      <c r="S10" s="2"/>
      <c r="T10" s="2">
        <f t="shared" si="5"/>
        <v>1206.54</v>
      </c>
      <c r="U10" s="2"/>
      <c r="V10" s="2"/>
      <c r="W10" s="2">
        <f t="shared" si="6"/>
        <v>1206.54</v>
      </c>
      <c r="X10" s="2"/>
      <c r="Y10" s="2"/>
      <c r="Z10" s="2">
        <f t="shared" si="7"/>
        <v>1206.54</v>
      </c>
      <c r="AA10" s="2"/>
      <c r="AB10" s="2">
        <v>124.14</v>
      </c>
      <c r="AC10" s="2">
        <f t="shared" si="8"/>
        <v>1082.3999999999999</v>
      </c>
      <c r="AD10" s="2"/>
      <c r="AE10" s="2"/>
      <c r="AF10" s="2">
        <f t="shared" si="9"/>
        <v>1082.3999999999999</v>
      </c>
      <c r="AG10" s="2">
        <f>500+30+75+870</f>
        <v>1475</v>
      </c>
      <c r="AH10" s="2"/>
      <c r="AI10" s="2">
        <f t="shared" si="10"/>
        <v>2557.3999999999996</v>
      </c>
      <c r="AJ10" s="2">
        <f>'[1]Team Account Recons'!AN8</f>
        <v>2557.86</v>
      </c>
      <c r="AK10" s="2">
        <f t="shared" si="11"/>
        <v>-0.46000000000049113</v>
      </c>
    </row>
    <row r="11" spans="1:38" ht="16" x14ac:dyDescent="0.2">
      <c r="A11" s="7" t="s">
        <v>52</v>
      </c>
      <c r="B11" s="2">
        <v>-102.86999999999989</v>
      </c>
      <c r="C11" s="6"/>
      <c r="D11" s="6"/>
      <c r="E11" s="6">
        <f t="shared" si="0"/>
        <v>-102.86999999999989</v>
      </c>
      <c r="F11" s="6"/>
      <c r="G11" s="2"/>
      <c r="H11" s="2">
        <f t="shared" si="1"/>
        <v>-102.86999999999989</v>
      </c>
      <c r="I11" s="2">
        <v>8941.56</v>
      </c>
      <c r="J11" s="2">
        <v>695</v>
      </c>
      <c r="K11" s="2">
        <f t="shared" si="2"/>
        <v>8143.6899999999987</v>
      </c>
      <c r="L11" s="2"/>
      <c r="M11" s="2"/>
      <c r="N11" s="2">
        <f t="shared" si="3"/>
        <v>8143.6899999999987</v>
      </c>
      <c r="O11" s="2"/>
      <c r="P11" s="2"/>
      <c r="Q11" s="2">
        <f t="shared" si="4"/>
        <v>8143.6899999999987</v>
      </c>
      <c r="R11" s="2">
        <f>315+433.35+5000+3300+5500</f>
        <v>14548.35</v>
      </c>
      <c r="S11" s="2">
        <v>1829.88</v>
      </c>
      <c r="T11" s="2">
        <f t="shared" si="5"/>
        <v>20862.16</v>
      </c>
      <c r="U11" s="2">
        <f>160+2830+3900+4630+100+700+160+165+165+1740</f>
        <v>14550</v>
      </c>
      <c r="V11" s="2">
        <f>40+370.32+411.57+1300+1560+125+55+55+55+55+55+55+55+500+815.35</f>
        <v>5507.24</v>
      </c>
      <c r="W11" s="2">
        <f t="shared" si="6"/>
        <v>29904.920000000006</v>
      </c>
      <c r="X11" s="2">
        <f>2530+875+290</f>
        <v>3695</v>
      </c>
      <c r="Y11" s="2">
        <f>55+55+3559.63+313+1500+695+55+55+125+500+125+209.85+248.06+2086+55+55+300.68+55+55</f>
        <v>10102.220000000001</v>
      </c>
      <c r="Z11" s="2">
        <f t="shared" si="7"/>
        <v>23497.700000000004</v>
      </c>
      <c r="AA11" s="2">
        <v>160</v>
      </c>
      <c r="AB11" s="2">
        <f>55+1750+958.12+1500+1750+55+1000+55+55+55+55+55+55-55</f>
        <v>7343.12</v>
      </c>
      <c r="AC11" s="2">
        <f t="shared" si="8"/>
        <v>16314.580000000005</v>
      </c>
      <c r="AD11" s="2"/>
      <c r="AE11" s="2">
        <f>55+55+375+15+55-55+55</f>
        <v>555</v>
      </c>
      <c r="AF11" s="2">
        <f t="shared" si="9"/>
        <v>15759.580000000005</v>
      </c>
      <c r="AG11" s="2"/>
      <c r="AH11" s="2">
        <f>16*30+300+55+55+55</f>
        <v>945</v>
      </c>
      <c r="AI11" s="2">
        <f t="shared" si="10"/>
        <v>14814.580000000005</v>
      </c>
      <c r="AJ11" s="2">
        <f>'[1]Team Account Recons'!AN9</f>
        <v>14814.58</v>
      </c>
      <c r="AK11" s="2">
        <f t="shared" si="11"/>
        <v>0</v>
      </c>
    </row>
    <row r="12" spans="1:38" ht="16" x14ac:dyDescent="0.2">
      <c r="A12" s="7" t="s">
        <v>51</v>
      </c>
      <c r="B12" s="2">
        <v>2239.73</v>
      </c>
      <c r="C12" s="6"/>
      <c r="D12" s="6"/>
      <c r="E12" s="6">
        <f t="shared" si="0"/>
        <v>2239.73</v>
      </c>
      <c r="F12" s="6"/>
      <c r="G12" s="2"/>
      <c r="H12" s="2">
        <f t="shared" si="1"/>
        <v>2239.73</v>
      </c>
      <c r="I12" s="2"/>
      <c r="J12" s="2"/>
      <c r="K12" s="2">
        <f t="shared" si="2"/>
        <v>2239.73</v>
      </c>
      <c r="L12" s="2"/>
      <c r="M12" s="2"/>
      <c r="N12" s="2">
        <f t="shared" si="3"/>
        <v>2239.73</v>
      </c>
      <c r="O12" s="2"/>
      <c r="P12" s="2"/>
      <c r="Q12" s="2">
        <f t="shared" si="4"/>
        <v>2239.73</v>
      </c>
      <c r="R12" s="2"/>
      <c r="S12" s="2"/>
      <c r="T12" s="2">
        <f t="shared" si="5"/>
        <v>2239.73</v>
      </c>
      <c r="U12" s="2"/>
      <c r="V12" s="2"/>
      <c r="W12" s="2">
        <f t="shared" si="6"/>
        <v>2239.73</v>
      </c>
      <c r="X12" s="2">
        <v>50</v>
      </c>
      <c r="Y12" s="2"/>
      <c r="Z12" s="2">
        <f t="shared" si="7"/>
        <v>2289.73</v>
      </c>
      <c r="AA12" s="2"/>
      <c r="AB12" s="2"/>
      <c r="AC12" s="2">
        <f t="shared" si="8"/>
        <v>2289.73</v>
      </c>
      <c r="AD12" s="2"/>
      <c r="AE12" s="2">
        <f>1148.94+343.32</f>
        <v>1492.26</v>
      </c>
      <c r="AF12" s="2">
        <f t="shared" si="9"/>
        <v>797.47</v>
      </c>
      <c r="AG12" s="2"/>
      <c r="AH12" s="2">
        <f>29.76+85.75</f>
        <v>115.51</v>
      </c>
      <c r="AI12" s="2">
        <f t="shared" si="10"/>
        <v>681.96</v>
      </c>
      <c r="AJ12" s="2">
        <f>'[1]Team Account Recons'!AN10</f>
        <v>682.23</v>
      </c>
      <c r="AK12" s="2">
        <f t="shared" si="11"/>
        <v>-0.26999999999998181</v>
      </c>
    </row>
    <row r="13" spans="1:38" ht="16" x14ac:dyDescent="0.2">
      <c r="A13" s="7" t="s">
        <v>50</v>
      </c>
      <c r="B13" s="2">
        <v>3529.89</v>
      </c>
      <c r="C13" s="6"/>
      <c r="D13" s="6"/>
      <c r="E13" s="6">
        <f t="shared" si="0"/>
        <v>3529.89</v>
      </c>
      <c r="F13" s="6">
        <v>2027.5</v>
      </c>
      <c r="G13" s="2"/>
      <c r="H13" s="2">
        <f t="shared" si="1"/>
        <v>5557.3899999999994</v>
      </c>
      <c r="I13" s="2"/>
      <c r="J13" s="2"/>
      <c r="K13" s="2">
        <f t="shared" si="2"/>
        <v>5557.3899999999994</v>
      </c>
      <c r="L13" s="2"/>
      <c r="M13" s="2">
        <v>150</v>
      </c>
      <c r="N13" s="2">
        <f t="shared" si="3"/>
        <v>5407.3899999999994</v>
      </c>
      <c r="O13" s="2"/>
      <c r="P13" s="2"/>
      <c r="Q13" s="2">
        <f t="shared" si="4"/>
        <v>5407.3899999999994</v>
      </c>
      <c r="R13" s="2"/>
      <c r="S13" s="2">
        <f>571.2+564.61</f>
        <v>1135.81</v>
      </c>
      <c r="T13" s="2">
        <f t="shared" si="5"/>
        <v>4271.58</v>
      </c>
      <c r="U13" s="2">
        <v>132.86000000000001</v>
      </c>
      <c r="V13" s="2">
        <v>132.86000000000001</v>
      </c>
      <c r="W13" s="2">
        <f t="shared" si="6"/>
        <v>4271.58</v>
      </c>
      <c r="X13" s="2"/>
      <c r="Y13" s="2">
        <v>2804.05</v>
      </c>
      <c r="Z13" s="2">
        <f t="shared" si="7"/>
        <v>1467.5299999999997</v>
      </c>
      <c r="AA13" s="2"/>
      <c r="AB13" s="2"/>
      <c r="AC13" s="2">
        <f t="shared" si="8"/>
        <v>1467.5299999999997</v>
      </c>
      <c r="AD13" s="2"/>
      <c r="AE13" s="2"/>
      <c r="AF13" s="2">
        <f t="shared" si="9"/>
        <v>1467.5299999999997</v>
      </c>
      <c r="AG13" s="2"/>
      <c r="AH13" s="2"/>
      <c r="AI13" s="2">
        <f t="shared" si="10"/>
        <v>1467.5299999999997</v>
      </c>
      <c r="AJ13" s="2">
        <f>'[1]Team Account Recons'!AN11</f>
        <v>1467.64</v>
      </c>
      <c r="AK13" s="2">
        <f t="shared" si="11"/>
        <v>-0.1100000000003547</v>
      </c>
    </row>
    <row r="14" spans="1:38" ht="16" x14ac:dyDescent="0.2">
      <c r="A14" s="7" t="s">
        <v>49</v>
      </c>
      <c r="B14" s="2">
        <v>37961.68</v>
      </c>
      <c r="C14" s="6"/>
      <c r="D14" s="6">
        <f>203.22+302.8</f>
        <v>506.02</v>
      </c>
      <c r="E14" s="6">
        <f t="shared" si="0"/>
        <v>37455.660000000003</v>
      </c>
      <c r="F14" s="6"/>
      <c r="G14" s="2"/>
      <c r="H14" s="2">
        <f t="shared" si="1"/>
        <v>37455.660000000003</v>
      </c>
      <c r="I14" s="2"/>
      <c r="J14" s="2">
        <f>440.5+7500</f>
        <v>7940.5</v>
      </c>
      <c r="K14" s="2">
        <f t="shared" si="2"/>
        <v>29515.160000000003</v>
      </c>
      <c r="L14" s="2"/>
      <c r="M14" s="2">
        <f>2987.5+192.98+385.27</f>
        <v>3565.75</v>
      </c>
      <c r="N14" s="2">
        <f t="shared" si="3"/>
        <v>25949.410000000003</v>
      </c>
      <c r="O14" s="2"/>
      <c r="P14" s="2">
        <f>600+150+3208.16</f>
        <v>3958.16</v>
      </c>
      <c r="Q14" s="2">
        <f t="shared" si="4"/>
        <v>21991.250000000004</v>
      </c>
      <c r="R14" s="2"/>
      <c r="S14" s="2">
        <f>992.25+100+100+100+229.21+142.86+789.39-7500+92.51+551.25</f>
        <v>-4402.53</v>
      </c>
      <c r="T14" s="2">
        <f t="shared" si="5"/>
        <v>26393.780000000002</v>
      </c>
      <c r="U14" s="2">
        <v>90</v>
      </c>
      <c r="V14" s="2">
        <f>351.68+55.11+55.11+451.41+394.7+3857.65-385.27+900.35</f>
        <v>5680.74</v>
      </c>
      <c r="W14" s="2">
        <f t="shared" si="6"/>
        <v>20803.04</v>
      </c>
      <c r="X14" s="2">
        <v>2450</v>
      </c>
      <c r="Y14" s="2">
        <f>1102.5+683.84+12000+168.62</f>
        <v>13954.960000000001</v>
      </c>
      <c r="Z14" s="2">
        <f t="shared" si="7"/>
        <v>9298.08</v>
      </c>
      <c r="AA14" s="2">
        <f>250+6600+12915.9</f>
        <v>19765.900000000001</v>
      </c>
      <c r="AB14" s="2">
        <f>135.96+3158.75</f>
        <v>3294.71</v>
      </c>
      <c r="AC14" s="2">
        <f t="shared" si="8"/>
        <v>25769.270000000004</v>
      </c>
      <c r="AD14" s="2"/>
      <c r="AE14" s="2">
        <f>519.94+12322.53</f>
        <v>12842.470000000001</v>
      </c>
      <c r="AF14" s="2">
        <f t="shared" si="9"/>
        <v>12926.800000000003</v>
      </c>
      <c r="AG14" s="2"/>
      <c r="AH14" s="2"/>
      <c r="AI14" s="2">
        <f t="shared" si="10"/>
        <v>12926.800000000003</v>
      </c>
      <c r="AJ14" s="2">
        <f>'[1]Team Account Recons'!AN12</f>
        <v>12926.8</v>
      </c>
      <c r="AK14" s="2">
        <f t="shared" si="11"/>
        <v>0</v>
      </c>
    </row>
    <row r="15" spans="1:38" ht="16" x14ac:dyDescent="0.2">
      <c r="A15" s="7" t="s">
        <v>48</v>
      </c>
      <c r="B15" s="2">
        <v>18655.55</v>
      </c>
      <c r="C15" s="6"/>
      <c r="D15" s="6">
        <f>250.54+832.58+4768</f>
        <v>5851.12</v>
      </c>
      <c r="E15" s="6">
        <f t="shared" si="0"/>
        <v>12804.43</v>
      </c>
      <c r="F15" s="6"/>
      <c r="G15" s="2">
        <v>2300</v>
      </c>
      <c r="H15" s="2">
        <f t="shared" si="1"/>
        <v>10504.43</v>
      </c>
      <c r="I15" s="2">
        <f>300+300+7934</f>
        <v>8534</v>
      </c>
      <c r="J15" s="2">
        <f>500+25</f>
        <v>525</v>
      </c>
      <c r="K15" s="2">
        <f t="shared" si="2"/>
        <v>18513.43</v>
      </c>
      <c r="L15" s="2">
        <f>15669.2+900+300+300</f>
        <v>17169.2</v>
      </c>
      <c r="M15" s="2">
        <f>350+2000</f>
        <v>2350</v>
      </c>
      <c r="N15" s="2">
        <f t="shared" si="3"/>
        <v>33332.630000000005</v>
      </c>
      <c r="O15" s="2"/>
      <c r="P15" s="2">
        <v>110.25</v>
      </c>
      <c r="Q15" s="2">
        <f t="shared" si="4"/>
        <v>33222.380000000005</v>
      </c>
      <c r="R15" s="2"/>
      <c r="S15" s="2"/>
      <c r="T15" s="2">
        <f t="shared" si="5"/>
        <v>33222.380000000005</v>
      </c>
      <c r="U15" s="2">
        <v>100</v>
      </c>
      <c r="V15" s="2">
        <v>124.14</v>
      </c>
      <c r="W15" s="2">
        <f t="shared" si="6"/>
        <v>33198.240000000005</v>
      </c>
      <c r="X15" s="2">
        <v>50</v>
      </c>
      <c r="Y15" s="2">
        <f>319.73+20</f>
        <v>339.73</v>
      </c>
      <c r="Z15" s="2">
        <f t="shared" si="7"/>
        <v>32908.51</v>
      </c>
      <c r="AA15" s="2"/>
      <c r="AB15" s="2">
        <f>165+597.18+202.54-124.14+605.28+352.56</f>
        <v>1798.4199999999998</v>
      </c>
      <c r="AC15" s="2">
        <f t="shared" si="8"/>
        <v>31110.090000000004</v>
      </c>
      <c r="AD15" s="2">
        <f>1289+3600+450+1.72</f>
        <v>5340.72</v>
      </c>
      <c r="AE15" s="2">
        <f>52.02+112.34+42.97+52.97+258.39+221+124.12+448+77+352.56</f>
        <v>1741.37</v>
      </c>
      <c r="AF15" s="2">
        <f t="shared" si="9"/>
        <v>34709.440000000002</v>
      </c>
      <c r="AG15" s="2">
        <v>375</v>
      </c>
      <c r="AH15" s="2">
        <f>600+157+100.31+50.68+19.99+300+2759.54+266.58+10.03+89.5</f>
        <v>4353.63</v>
      </c>
      <c r="AI15" s="2">
        <f t="shared" si="10"/>
        <v>30730.81</v>
      </c>
      <c r="AJ15" s="2">
        <f>'[1]Team Account Recons'!AN13</f>
        <v>30730.81</v>
      </c>
      <c r="AK15" s="2">
        <f t="shared" si="11"/>
        <v>0</v>
      </c>
    </row>
    <row r="16" spans="1:38" ht="16" x14ac:dyDescent="0.2">
      <c r="A16" s="7" t="s">
        <v>47</v>
      </c>
      <c r="B16" s="6">
        <v>7837.0699999999979</v>
      </c>
      <c r="C16" s="6"/>
      <c r="D16" s="6"/>
      <c r="E16" s="6">
        <f t="shared" si="0"/>
        <v>7837.0699999999979</v>
      </c>
      <c r="F16" s="6">
        <v>0</v>
      </c>
      <c r="G16" s="6"/>
      <c r="H16" s="6">
        <f t="shared" si="1"/>
        <v>7837.0699999999979</v>
      </c>
      <c r="I16" s="6">
        <v>100</v>
      </c>
      <c r="J16" s="6"/>
      <c r="K16" s="6">
        <f t="shared" si="2"/>
        <v>7937.0699999999979</v>
      </c>
      <c r="L16" s="6"/>
      <c r="M16" s="6">
        <v>2514.06</v>
      </c>
      <c r="N16" s="6">
        <f t="shared" si="3"/>
        <v>5423.0099999999984</v>
      </c>
      <c r="O16" s="6"/>
      <c r="P16" s="6"/>
      <c r="Q16" s="6">
        <f t="shared" si="4"/>
        <v>5423.0099999999984</v>
      </c>
      <c r="R16" s="6"/>
      <c r="S16" s="6"/>
      <c r="T16" s="6">
        <f t="shared" si="5"/>
        <v>5423.0099999999984</v>
      </c>
      <c r="U16" s="6">
        <v>225</v>
      </c>
      <c r="V16" s="6">
        <v>-2514.06</v>
      </c>
      <c r="W16" s="6">
        <f t="shared" si="6"/>
        <v>8162.0699999999979</v>
      </c>
      <c r="X16" s="6">
        <f>1350+1175</f>
        <v>2525</v>
      </c>
      <c r="Y16" s="6"/>
      <c r="Z16" s="6">
        <f t="shared" si="7"/>
        <v>10687.069999999998</v>
      </c>
      <c r="AA16" s="6">
        <f>1000+675+75</f>
        <v>1750</v>
      </c>
      <c r="AB16" s="6">
        <f>3000+2514.06+735+375</f>
        <v>6624.0599999999995</v>
      </c>
      <c r="AC16" s="6">
        <f t="shared" si="8"/>
        <v>5813.0099999999984</v>
      </c>
      <c r="AD16" s="6">
        <f>2500+75</f>
        <v>2575</v>
      </c>
      <c r="AE16" s="6"/>
      <c r="AF16" s="6">
        <f t="shared" si="9"/>
        <v>8388.0099999999984</v>
      </c>
      <c r="AG16" s="6"/>
      <c r="AH16" s="6"/>
      <c r="AI16" s="2">
        <f t="shared" si="10"/>
        <v>8388.0099999999984</v>
      </c>
      <c r="AJ16" s="2">
        <f>'[1]Team Account Recons'!AN14</f>
        <v>8388.01</v>
      </c>
      <c r="AK16" s="2">
        <f t="shared" si="11"/>
        <v>0</v>
      </c>
    </row>
    <row r="17" spans="1:38" ht="16" x14ac:dyDescent="0.2">
      <c r="A17" s="7" t="s">
        <v>46</v>
      </c>
      <c r="B17" s="6">
        <v>2246.21</v>
      </c>
      <c r="C17" s="6"/>
      <c r="D17" s="6"/>
      <c r="E17" s="6">
        <f t="shared" si="0"/>
        <v>2246.21</v>
      </c>
      <c r="F17" s="6">
        <f>1500+3800</f>
        <v>5300</v>
      </c>
      <c r="G17" s="6"/>
      <c r="H17" s="6">
        <f t="shared" si="1"/>
        <v>7546.21</v>
      </c>
      <c r="I17" s="6"/>
      <c r="J17" s="6">
        <f>33+7000</f>
        <v>7033</v>
      </c>
      <c r="K17" s="6">
        <f t="shared" si="2"/>
        <v>513.21</v>
      </c>
      <c r="L17" s="6"/>
      <c r="M17" s="6">
        <v>-33</v>
      </c>
      <c r="N17" s="6">
        <f t="shared" si="3"/>
        <v>546.21</v>
      </c>
      <c r="O17" s="6"/>
      <c r="P17" s="6"/>
      <c r="Q17" s="6">
        <f t="shared" si="4"/>
        <v>546.21</v>
      </c>
      <c r="R17" s="6"/>
      <c r="S17" s="6"/>
      <c r="T17" s="6">
        <f t="shared" si="5"/>
        <v>546.21</v>
      </c>
      <c r="U17" s="6"/>
      <c r="V17" s="6"/>
      <c r="W17" s="6">
        <f t="shared" si="6"/>
        <v>546.21</v>
      </c>
      <c r="X17" s="6"/>
      <c r="Y17" s="6"/>
      <c r="Z17" s="6">
        <f t="shared" si="7"/>
        <v>546.21</v>
      </c>
      <c r="AA17" s="6">
        <v>125</v>
      </c>
      <c r="AB17" s="6"/>
      <c r="AC17" s="6">
        <f t="shared" si="8"/>
        <v>671.21</v>
      </c>
      <c r="AD17" s="6"/>
      <c r="AE17" s="6"/>
      <c r="AF17" s="6">
        <f t="shared" si="9"/>
        <v>671.21</v>
      </c>
      <c r="AG17" s="6">
        <v>37.5</v>
      </c>
      <c r="AH17" s="6"/>
      <c r="AI17" s="2">
        <f t="shared" si="10"/>
        <v>708.71</v>
      </c>
      <c r="AJ17" s="2">
        <f>'[1]Team Account Recons'!AN15</f>
        <v>671.21</v>
      </c>
      <c r="AK17" s="2">
        <f t="shared" si="11"/>
        <v>37.5</v>
      </c>
      <c r="AL17" s="9" t="s">
        <v>31</v>
      </c>
    </row>
    <row r="18" spans="1:38" ht="16" x14ac:dyDescent="0.2">
      <c r="A18" s="7" t="s">
        <v>45</v>
      </c>
      <c r="B18" s="2">
        <v>-185.25</v>
      </c>
      <c r="C18" s="6"/>
      <c r="D18" s="6"/>
      <c r="E18" s="6">
        <f t="shared" si="0"/>
        <v>-185.25</v>
      </c>
      <c r="F18" s="6">
        <v>4000</v>
      </c>
      <c r="G18" s="2"/>
      <c r="H18" s="2">
        <f t="shared" si="1"/>
        <v>3814.75</v>
      </c>
      <c r="I18" s="2"/>
      <c r="J18" s="2"/>
      <c r="K18" s="2">
        <f t="shared" si="2"/>
        <v>3814.75</v>
      </c>
      <c r="L18" s="2"/>
      <c r="M18" s="2">
        <v>3681.79</v>
      </c>
      <c r="N18" s="2">
        <f t="shared" si="3"/>
        <v>132.96000000000004</v>
      </c>
      <c r="O18" s="2"/>
      <c r="P18" s="2"/>
      <c r="Q18" s="2">
        <f t="shared" si="4"/>
        <v>132.96000000000004</v>
      </c>
      <c r="R18" s="2"/>
      <c r="S18" s="2"/>
      <c r="T18" s="2">
        <f t="shared" si="5"/>
        <v>132.96000000000004</v>
      </c>
      <c r="U18" s="2">
        <f>1230+4260</f>
        <v>5490</v>
      </c>
      <c r="V18" s="2"/>
      <c r="W18" s="2">
        <f t="shared" si="6"/>
        <v>5622.96</v>
      </c>
      <c r="X18" s="2">
        <f>710</f>
        <v>710</v>
      </c>
      <c r="Y18" s="2">
        <f>180+107.89+2064.38</f>
        <v>2352.27</v>
      </c>
      <c r="Z18" s="2">
        <f t="shared" si="7"/>
        <v>3980.69</v>
      </c>
      <c r="AA18" s="2">
        <v>1270</v>
      </c>
      <c r="AB18" s="2">
        <f>248.13+722.84</f>
        <v>970.97</v>
      </c>
      <c r="AC18" s="2">
        <f t="shared" si="8"/>
        <v>4279.72</v>
      </c>
      <c r="AD18" s="2">
        <v>350</v>
      </c>
      <c r="AE18" s="2">
        <v>1200</v>
      </c>
      <c r="AF18" s="2">
        <f t="shared" si="9"/>
        <v>3429.7200000000003</v>
      </c>
      <c r="AG18" s="2"/>
      <c r="AH18" s="2"/>
      <c r="AI18" s="2">
        <f t="shared" si="10"/>
        <v>3429.7200000000003</v>
      </c>
      <c r="AJ18" s="2">
        <f>'[1]Team Account Recons'!AN16</f>
        <v>3429.72</v>
      </c>
      <c r="AK18" s="2">
        <f t="shared" si="11"/>
        <v>0</v>
      </c>
    </row>
    <row r="19" spans="1:38" ht="16" x14ac:dyDescent="0.2">
      <c r="A19" s="7" t="s">
        <v>44</v>
      </c>
      <c r="B19" s="6">
        <v>6106.86</v>
      </c>
      <c r="C19" s="6"/>
      <c r="D19" s="6"/>
      <c r="E19" s="6">
        <f t="shared" si="0"/>
        <v>6106.86</v>
      </c>
      <c r="F19" s="6"/>
      <c r="G19" s="6"/>
      <c r="H19" s="6">
        <f t="shared" si="1"/>
        <v>6106.86</v>
      </c>
      <c r="I19" s="6"/>
      <c r="J19" s="6"/>
      <c r="K19" s="6">
        <f t="shared" si="2"/>
        <v>6106.86</v>
      </c>
      <c r="L19" s="6"/>
      <c r="M19" s="6"/>
      <c r="N19" s="6">
        <f t="shared" si="3"/>
        <v>6106.86</v>
      </c>
      <c r="O19" s="6"/>
      <c r="P19" s="6"/>
      <c r="Q19" s="6">
        <f t="shared" si="4"/>
        <v>6106.86</v>
      </c>
      <c r="R19" s="6"/>
      <c r="S19" s="6"/>
      <c r="T19" s="6">
        <f t="shared" si="5"/>
        <v>6106.86</v>
      </c>
      <c r="U19" s="6"/>
      <c r="V19" s="6">
        <f>1046.18+44.1+124.15+863.86</f>
        <v>2078.29</v>
      </c>
      <c r="W19" s="6">
        <f t="shared" si="6"/>
        <v>4028.5699999999997</v>
      </c>
      <c r="X19" s="6">
        <f>100+150+1000</f>
        <v>1250</v>
      </c>
      <c r="Y19" s="6"/>
      <c r="Z19" s="6">
        <f t="shared" si="7"/>
        <v>5278.57</v>
      </c>
      <c r="AA19" s="6">
        <v>2500</v>
      </c>
      <c r="AB19" s="6">
        <v>834.48</v>
      </c>
      <c r="AC19" s="6">
        <f t="shared" si="8"/>
        <v>6944.09</v>
      </c>
      <c r="AD19" s="6"/>
      <c r="AE19" s="6">
        <v>615.64</v>
      </c>
      <c r="AF19" s="6">
        <f t="shared" si="9"/>
        <v>6328.45</v>
      </c>
      <c r="AG19" s="6"/>
      <c r="AH19" s="6"/>
      <c r="AI19" s="2">
        <f t="shared" si="10"/>
        <v>6328.45</v>
      </c>
      <c r="AJ19" s="2">
        <f>'[1]Team Account Recons'!AN17</f>
        <v>6328.45</v>
      </c>
      <c r="AK19" s="2">
        <f t="shared" si="11"/>
        <v>0</v>
      </c>
    </row>
    <row r="20" spans="1:38" ht="16" x14ac:dyDescent="0.2">
      <c r="A20" s="7" t="s">
        <v>43</v>
      </c>
      <c r="B20" s="2">
        <f>8219.47+5211.05</f>
        <v>13430.52</v>
      </c>
      <c r="C20" s="6"/>
      <c r="D20" s="6">
        <f>3119.41+2424.4</f>
        <v>5543.8099999999995</v>
      </c>
      <c r="E20" s="6">
        <f t="shared" si="0"/>
        <v>7886.7100000000009</v>
      </c>
      <c r="F20" s="6">
        <v>1175</v>
      </c>
      <c r="G20" s="2"/>
      <c r="H20" s="2">
        <f t="shared" si="1"/>
        <v>9061.7100000000009</v>
      </c>
      <c r="I20" s="2">
        <f>250+300</f>
        <v>550</v>
      </c>
      <c r="J20" s="2"/>
      <c r="K20" s="2">
        <f t="shared" si="2"/>
        <v>9611.7100000000009</v>
      </c>
      <c r="L20" s="2">
        <v>100</v>
      </c>
      <c r="M20" s="2"/>
      <c r="N20" s="2">
        <f t="shared" si="3"/>
        <v>9711.7100000000009</v>
      </c>
      <c r="O20" s="2"/>
      <c r="P20" s="2"/>
      <c r="Q20" s="2">
        <f t="shared" si="4"/>
        <v>9711.7100000000009</v>
      </c>
      <c r="R20" s="2"/>
      <c r="S20" s="2"/>
      <c r="T20" s="2">
        <f t="shared" si="5"/>
        <v>9711.7100000000009</v>
      </c>
      <c r="U20" s="2"/>
      <c r="V20" s="2"/>
      <c r="W20" s="2">
        <f t="shared" si="6"/>
        <v>9711.7100000000009</v>
      </c>
      <c r="X20" s="2">
        <v>200</v>
      </c>
      <c r="Y20" s="2"/>
      <c r="Z20" s="2">
        <f t="shared" si="7"/>
        <v>9911.7100000000009</v>
      </c>
      <c r="AA20" s="2"/>
      <c r="AB20" s="2"/>
      <c r="AC20" s="2">
        <f t="shared" si="8"/>
        <v>9911.7100000000009</v>
      </c>
      <c r="AD20" s="2"/>
      <c r="AE20" s="2"/>
      <c r="AF20" s="2">
        <f t="shared" si="9"/>
        <v>9911.7100000000009</v>
      </c>
      <c r="AG20" s="2">
        <f>500</f>
        <v>500</v>
      </c>
      <c r="AH20" s="2"/>
      <c r="AI20" s="2">
        <f t="shared" si="10"/>
        <v>10411.710000000001</v>
      </c>
      <c r="AJ20" s="2">
        <f>'[1]Team Account Recons'!AN18</f>
        <v>10411.709999999999</v>
      </c>
      <c r="AK20" s="2">
        <f t="shared" si="11"/>
        <v>0</v>
      </c>
      <c r="AL20" s="12"/>
    </row>
    <row r="21" spans="1:38" ht="16" x14ac:dyDescent="0.2">
      <c r="A21" s="7" t="s">
        <v>42</v>
      </c>
      <c r="B21" s="6">
        <v>986.15000000000009</v>
      </c>
      <c r="C21" s="6"/>
      <c r="D21" s="6"/>
      <c r="E21" s="6">
        <f t="shared" si="0"/>
        <v>986.15000000000009</v>
      </c>
      <c r="F21" s="6">
        <f>6040+425</f>
        <v>6465</v>
      </c>
      <c r="G21" s="6"/>
      <c r="H21" s="6">
        <f t="shared" si="1"/>
        <v>7451.15</v>
      </c>
      <c r="I21" s="6"/>
      <c r="J21" s="6"/>
      <c r="K21" s="6">
        <f t="shared" si="2"/>
        <v>7451.15</v>
      </c>
      <c r="L21" s="6">
        <f>1092+750</f>
        <v>1842</v>
      </c>
      <c r="M21" s="6"/>
      <c r="N21" s="6">
        <f t="shared" si="3"/>
        <v>9293.15</v>
      </c>
      <c r="O21" s="6"/>
      <c r="P21" s="6"/>
      <c r="Q21" s="6">
        <f t="shared" si="4"/>
        <v>9293.15</v>
      </c>
      <c r="R21" s="6"/>
      <c r="S21" s="6">
        <f>1000+1000+1170</f>
        <v>3170</v>
      </c>
      <c r="T21" s="6">
        <f t="shared" si="5"/>
        <v>6123.15</v>
      </c>
      <c r="U21" s="6"/>
      <c r="V21" s="6"/>
      <c r="W21" s="6">
        <f t="shared" si="6"/>
        <v>6123.15</v>
      </c>
      <c r="X21" s="6"/>
      <c r="Y21" s="6"/>
      <c r="Z21" s="6">
        <f t="shared" si="7"/>
        <v>6123.15</v>
      </c>
      <c r="AA21" s="6"/>
      <c r="AB21" s="6">
        <v>546</v>
      </c>
      <c r="AC21" s="6">
        <f t="shared" si="8"/>
        <v>5577.15</v>
      </c>
      <c r="AD21" s="6"/>
      <c r="AE21" s="6"/>
      <c r="AF21" s="6">
        <f t="shared" si="9"/>
        <v>5577.15</v>
      </c>
      <c r="AG21" s="6"/>
      <c r="AH21" s="6"/>
      <c r="AI21" s="2">
        <f t="shared" si="10"/>
        <v>5577.15</v>
      </c>
      <c r="AJ21" s="2">
        <f>'[1]Team Account Recons'!AN19</f>
        <v>5577</v>
      </c>
      <c r="AK21" s="2">
        <f t="shared" si="11"/>
        <v>0.1499999999996362</v>
      </c>
    </row>
    <row r="22" spans="1:38" ht="16" x14ac:dyDescent="0.2">
      <c r="A22" s="7" t="s">
        <v>41</v>
      </c>
      <c r="B22" s="6">
        <v>4605.0800000000008</v>
      </c>
      <c r="C22" s="6"/>
      <c r="D22" s="6">
        <v>420</v>
      </c>
      <c r="E22" s="6">
        <f t="shared" si="0"/>
        <v>4185.0800000000008</v>
      </c>
      <c r="F22" s="6">
        <v>500</v>
      </c>
      <c r="G22" s="6">
        <f>603.28</f>
        <v>603.28</v>
      </c>
      <c r="H22" s="6">
        <f t="shared" si="1"/>
        <v>4081.8000000000011</v>
      </c>
      <c r="I22" s="6"/>
      <c r="J22" s="6"/>
      <c r="K22" s="6">
        <f t="shared" si="2"/>
        <v>4081.8000000000011</v>
      </c>
      <c r="L22" s="6"/>
      <c r="M22" s="6"/>
      <c r="N22" s="6">
        <f t="shared" si="3"/>
        <v>4081.8000000000011</v>
      </c>
      <c r="O22" s="6"/>
      <c r="P22" s="6"/>
      <c r="Q22" s="6">
        <f t="shared" si="4"/>
        <v>4081.8000000000011</v>
      </c>
      <c r="R22" s="6"/>
      <c r="S22" s="6"/>
      <c r="T22" s="6">
        <f t="shared" si="5"/>
        <v>4081.8000000000011</v>
      </c>
      <c r="U22" s="6">
        <f>110+100+300+100+15+50+200</f>
        <v>875</v>
      </c>
      <c r="V22" s="6">
        <f>474.52+81.56+135.5</f>
        <v>691.57999999999993</v>
      </c>
      <c r="W22" s="6">
        <f t="shared" si="6"/>
        <v>4265.2200000000012</v>
      </c>
      <c r="X22" s="6">
        <f>450+2500+200+100+60</f>
        <v>3310</v>
      </c>
      <c r="Y22" s="6">
        <f>1023.41+2529.76+545+100+241+100+133.5</f>
        <v>4672.67</v>
      </c>
      <c r="Z22" s="6">
        <f t="shared" si="7"/>
        <v>2902.5500000000011</v>
      </c>
      <c r="AA22" s="6">
        <f>30+5000+84.17</f>
        <v>5114.17</v>
      </c>
      <c r="AB22" s="6">
        <f>21.96+380.18</f>
        <v>402.14</v>
      </c>
      <c r="AC22" s="6">
        <f t="shared" si="8"/>
        <v>7614.5800000000008</v>
      </c>
      <c r="AD22" s="6"/>
      <c r="AE22" s="6">
        <v>165.34</v>
      </c>
      <c r="AF22" s="6">
        <f t="shared" si="9"/>
        <v>7449.2400000000007</v>
      </c>
      <c r="AG22" s="6"/>
      <c r="AH22" s="6">
        <v>588.44000000000005</v>
      </c>
      <c r="AI22" s="2">
        <f t="shared" si="10"/>
        <v>6860.8000000000011</v>
      </c>
      <c r="AJ22" s="2">
        <f>'[1]Team Account Recons'!AN20</f>
        <v>6861</v>
      </c>
      <c r="AK22" s="2">
        <f t="shared" si="11"/>
        <v>-0.19999999999890861</v>
      </c>
    </row>
    <row r="23" spans="1:38" ht="16" x14ac:dyDescent="0.2">
      <c r="A23" s="7" t="s">
        <v>40</v>
      </c>
      <c r="B23" s="2">
        <v>4865.07</v>
      </c>
      <c r="C23" s="6"/>
      <c r="D23" s="6"/>
      <c r="E23" s="6">
        <f t="shared" si="0"/>
        <v>4865.07</v>
      </c>
      <c r="F23" s="6"/>
      <c r="G23" s="2"/>
      <c r="H23" s="2">
        <f t="shared" si="1"/>
        <v>4865.07</v>
      </c>
      <c r="I23" s="2"/>
      <c r="J23" s="2">
        <v>401.77</v>
      </c>
      <c r="K23" s="2">
        <f t="shared" si="2"/>
        <v>4463.2999999999993</v>
      </c>
      <c r="L23" s="2"/>
      <c r="M23" s="2">
        <v>500</v>
      </c>
      <c r="N23" s="2">
        <f t="shared" si="3"/>
        <v>3963.2999999999993</v>
      </c>
      <c r="O23" s="2"/>
      <c r="P23" s="2"/>
      <c r="Q23" s="2">
        <f t="shared" si="4"/>
        <v>3963.2999999999993</v>
      </c>
      <c r="R23" s="2"/>
      <c r="S23" s="2"/>
      <c r="T23" s="2">
        <f t="shared" si="5"/>
        <v>3963.2999999999993</v>
      </c>
      <c r="U23" s="2"/>
      <c r="V23" s="2"/>
      <c r="W23" s="2">
        <f t="shared" si="6"/>
        <v>3963.2999999999993</v>
      </c>
      <c r="X23" s="2"/>
      <c r="Y23" s="2"/>
      <c r="Z23" s="2">
        <f t="shared" si="7"/>
        <v>3963.2999999999993</v>
      </c>
      <c r="AA23" s="2"/>
      <c r="AB23" s="2"/>
      <c r="AC23" s="2">
        <f t="shared" si="8"/>
        <v>3963.2999999999993</v>
      </c>
      <c r="AD23" s="2">
        <f>1000+1000+750</f>
        <v>2750</v>
      </c>
      <c r="AE23" s="2"/>
      <c r="AF23" s="2">
        <f t="shared" si="9"/>
        <v>6713.2999999999993</v>
      </c>
      <c r="AG23" s="2">
        <f>650+300</f>
        <v>950</v>
      </c>
      <c r="AH23" s="2"/>
      <c r="AI23" s="2">
        <f t="shared" si="10"/>
        <v>7663.2999999999993</v>
      </c>
      <c r="AJ23" s="2">
        <f>'[1]Team Account Recons'!AN21</f>
        <v>7363.3</v>
      </c>
      <c r="AK23" s="2">
        <f t="shared" si="11"/>
        <v>299.99999999999909</v>
      </c>
      <c r="AL23" t="s">
        <v>31</v>
      </c>
    </row>
    <row r="24" spans="1:38" ht="16" x14ac:dyDescent="0.2">
      <c r="A24" s="7" t="s">
        <v>39</v>
      </c>
      <c r="B24" s="6">
        <v>1834.6199999999997</v>
      </c>
      <c r="C24" s="6">
        <f>560</f>
        <v>560</v>
      </c>
      <c r="D24" s="6">
        <f>455.81+240</f>
        <v>695.81</v>
      </c>
      <c r="E24" s="6">
        <f t="shared" si="0"/>
        <v>1698.81</v>
      </c>
      <c r="F24" s="6">
        <f>860+100+600+100</f>
        <v>1660</v>
      </c>
      <c r="G24" s="6">
        <f>25</f>
        <v>25</v>
      </c>
      <c r="H24" s="6">
        <f t="shared" si="1"/>
        <v>3333.81</v>
      </c>
      <c r="I24" s="6">
        <f>325+25+530+411.47+628.44+100+193.9+265.82+523.21+871.8+96.8+145.05+212.72+1293.57+96.8+48.25+48.25</f>
        <v>5816.0800000000008</v>
      </c>
      <c r="J24" s="6">
        <f>179.95+749.78+406.69+297.31+590.3+600</f>
        <v>2824.0299999999997</v>
      </c>
      <c r="K24" s="6">
        <f t="shared" si="2"/>
        <v>6325.8600000000015</v>
      </c>
      <c r="L24" s="6">
        <f>1100+48.25+48.25</f>
        <v>1196.5</v>
      </c>
      <c r="M24" s="6">
        <f>436.57+839.07+844.49+246.19</f>
        <v>2366.3200000000002</v>
      </c>
      <c r="N24" s="6">
        <f t="shared" si="3"/>
        <v>5156.0400000000009</v>
      </c>
      <c r="O24" s="6">
        <f>500+100</f>
        <v>600</v>
      </c>
      <c r="P24" s="6"/>
      <c r="Q24" s="6">
        <f t="shared" si="4"/>
        <v>5756.0400000000009</v>
      </c>
      <c r="R24" s="6"/>
      <c r="S24" s="6"/>
      <c r="T24" s="6">
        <f t="shared" si="5"/>
        <v>5756.0400000000009</v>
      </c>
      <c r="U24" s="6">
        <v>50</v>
      </c>
      <c r="V24" s="6"/>
      <c r="W24" s="6">
        <f t="shared" si="6"/>
        <v>5806.0400000000009</v>
      </c>
      <c r="X24" s="6">
        <f>200+4200</f>
        <v>4400</v>
      </c>
      <c r="Y24" s="6">
        <f>105+100+336+80</f>
        <v>621</v>
      </c>
      <c r="Z24" s="6">
        <f t="shared" si="7"/>
        <v>9585.0400000000009</v>
      </c>
      <c r="AA24" s="6">
        <v>2650</v>
      </c>
      <c r="AB24" s="6">
        <v>198</v>
      </c>
      <c r="AC24" s="6">
        <f t="shared" si="8"/>
        <v>12037.04</v>
      </c>
      <c r="AD24" s="6"/>
      <c r="AE24" s="6">
        <v>100</v>
      </c>
      <c r="AF24" s="6">
        <f t="shared" si="9"/>
        <v>11937.04</v>
      </c>
      <c r="AG24" s="6">
        <v>-500</v>
      </c>
      <c r="AH24" s="6"/>
      <c r="AI24" s="2">
        <f t="shared" si="10"/>
        <v>11437.04</v>
      </c>
      <c r="AJ24" s="2">
        <f>'[1]Team Account Recons'!AN22</f>
        <v>11436.23</v>
      </c>
      <c r="AK24" s="2">
        <f t="shared" si="11"/>
        <v>0.81000000000130967</v>
      </c>
    </row>
    <row r="25" spans="1:38" ht="16" x14ac:dyDescent="0.2">
      <c r="A25" s="7" t="s">
        <v>38</v>
      </c>
      <c r="B25" s="2">
        <v>-21.42999999999995</v>
      </c>
      <c r="C25" s="6"/>
      <c r="D25" s="6"/>
      <c r="E25" s="6">
        <f t="shared" si="0"/>
        <v>-21.42999999999995</v>
      </c>
      <c r="F25" s="6"/>
      <c r="G25" s="2"/>
      <c r="H25" s="2">
        <f t="shared" si="1"/>
        <v>-21.42999999999995</v>
      </c>
      <c r="I25" s="2">
        <f>1850+480+570+50</f>
        <v>2950</v>
      </c>
      <c r="J25" s="2">
        <v>850</v>
      </c>
      <c r="K25" s="2">
        <f t="shared" si="2"/>
        <v>2078.5700000000002</v>
      </c>
      <c r="L25" s="2">
        <v>600</v>
      </c>
      <c r="M25" s="2">
        <f>200+495.8</f>
        <v>695.8</v>
      </c>
      <c r="N25" s="2">
        <f t="shared" si="3"/>
        <v>1982.7700000000002</v>
      </c>
      <c r="O25" s="2"/>
      <c r="P25" s="2"/>
      <c r="Q25" s="2">
        <f t="shared" si="4"/>
        <v>1982.7700000000002</v>
      </c>
      <c r="R25" s="2"/>
      <c r="S25" s="2"/>
      <c r="T25" s="2">
        <f t="shared" si="5"/>
        <v>1982.7700000000002</v>
      </c>
      <c r="U25" s="2"/>
      <c r="V25" s="2"/>
      <c r="W25" s="2">
        <f t="shared" si="6"/>
        <v>1982.7700000000002</v>
      </c>
      <c r="X25" s="2"/>
      <c r="Y25" s="2"/>
      <c r="Z25" s="2">
        <f t="shared" si="7"/>
        <v>1982.7700000000002</v>
      </c>
      <c r="AA25" s="2"/>
      <c r="AB25" s="2"/>
      <c r="AC25" s="2">
        <f t="shared" si="8"/>
        <v>1982.7700000000002</v>
      </c>
      <c r="AD25" s="2"/>
      <c r="AE25" s="2"/>
      <c r="AF25" s="2">
        <f t="shared" si="9"/>
        <v>1982.7700000000002</v>
      </c>
      <c r="AG25" s="2">
        <v>714.97</v>
      </c>
      <c r="AH25" s="2">
        <v>1429.94</v>
      </c>
      <c r="AI25" s="2">
        <f t="shared" si="10"/>
        <v>1267.8000000000002</v>
      </c>
      <c r="AJ25" s="2">
        <f>'[1]Team Account Recons'!AN23</f>
        <v>1267.8</v>
      </c>
      <c r="AK25" s="2">
        <f t="shared" si="11"/>
        <v>0</v>
      </c>
    </row>
    <row r="26" spans="1:38" ht="16" x14ac:dyDescent="0.2">
      <c r="A26" s="7" t="s">
        <v>37</v>
      </c>
      <c r="B26" s="2">
        <v>0</v>
      </c>
      <c r="C26" s="6"/>
      <c r="D26" s="6"/>
      <c r="E26" s="6">
        <f t="shared" si="0"/>
        <v>0</v>
      </c>
      <c r="F26" s="6"/>
      <c r="G26" s="2"/>
      <c r="H26" s="2">
        <f t="shared" si="1"/>
        <v>0</v>
      </c>
      <c r="I26" s="2"/>
      <c r="J26" s="2"/>
      <c r="K26" s="2">
        <f t="shared" si="2"/>
        <v>0</v>
      </c>
      <c r="L26" s="2"/>
      <c r="M26" s="2"/>
      <c r="N26" s="2">
        <f t="shared" si="3"/>
        <v>0</v>
      </c>
      <c r="O26" s="2"/>
      <c r="P26" s="2"/>
      <c r="Q26" s="2">
        <f t="shared" si="4"/>
        <v>0</v>
      </c>
      <c r="R26" s="2"/>
      <c r="S26" s="2"/>
      <c r="T26" s="2">
        <f t="shared" si="5"/>
        <v>0</v>
      </c>
      <c r="U26" s="2"/>
      <c r="V26" s="2"/>
      <c r="W26" s="2">
        <f t="shared" si="6"/>
        <v>0</v>
      </c>
      <c r="X26" s="2">
        <f>125+100</f>
        <v>225</v>
      </c>
      <c r="Y26" s="2"/>
      <c r="Z26" s="2">
        <f t="shared" si="7"/>
        <v>225</v>
      </c>
      <c r="AA26" s="2"/>
      <c r="AB26" s="2"/>
      <c r="AC26" s="2">
        <f t="shared" si="8"/>
        <v>225</v>
      </c>
      <c r="AD26" s="2">
        <v>2250</v>
      </c>
      <c r="AE26" s="2"/>
      <c r="AF26" s="2">
        <f t="shared" si="9"/>
        <v>2475</v>
      </c>
      <c r="AG26" s="2"/>
      <c r="AH26" s="2"/>
      <c r="AI26" s="2">
        <f t="shared" si="10"/>
        <v>2475</v>
      </c>
      <c r="AJ26" s="2">
        <f>'[1]Team Account Recons'!AN24</f>
        <v>2475</v>
      </c>
      <c r="AK26" s="2">
        <f t="shared" si="11"/>
        <v>0</v>
      </c>
    </row>
    <row r="27" spans="1:38" ht="16" x14ac:dyDescent="0.2">
      <c r="A27" s="7" t="s">
        <v>36</v>
      </c>
      <c r="B27" s="2">
        <v>15856.740000000002</v>
      </c>
      <c r="C27" s="6"/>
      <c r="D27" s="6"/>
      <c r="E27" s="6">
        <f t="shared" si="0"/>
        <v>15856.740000000002</v>
      </c>
      <c r="F27" s="6"/>
      <c r="G27" s="2">
        <v>3748.36</v>
      </c>
      <c r="H27" s="2">
        <f t="shared" si="1"/>
        <v>12108.380000000001</v>
      </c>
      <c r="I27" s="2"/>
      <c r="J27" s="2"/>
      <c r="K27" s="2">
        <f t="shared" si="2"/>
        <v>12108.380000000001</v>
      </c>
      <c r="L27" s="2"/>
      <c r="M27" s="2"/>
      <c r="N27" s="2">
        <f t="shared" si="3"/>
        <v>12108.380000000001</v>
      </c>
      <c r="O27" s="2">
        <v>535</v>
      </c>
      <c r="P27" s="2"/>
      <c r="Q27" s="2">
        <f t="shared" si="4"/>
        <v>12643.380000000001</v>
      </c>
      <c r="R27" s="2"/>
      <c r="S27" s="2">
        <f>1500+421.14+372.87+384.4</f>
        <v>2678.41</v>
      </c>
      <c r="T27" s="2">
        <f t="shared" si="5"/>
        <v>9964.9700000000012</v>
      </c>
      <c r="U27" s="2"/>
      <c r="V27" s="2">
        <f>100+175+310+300+175+389.41</f>
        <v>1449.41</v>
      </c>
      <c r="W27" s="2">
        <f t="shared" si="6"/>
        <v>8515.5600000000013</v>
      </c>
      <c r="X27" s="2">
        <f>1316.68+200</f>
        <v>1516.68</v>
      </c>
      <c r="Y27" s="2">
        <f>350+350+325.66</f>
        <v>1025.6600000000001</v>
      </c>
      <c r="Z27" s="2">
        <f t="shared" si="7"/>
        <v>9006.5800000000017</v>
      </c>
      <c r="AA27" s="2"/>
      <c r="AB27" s="2">
        <f>20.94+12.99+82.56+11.02+62.81+1195.55+142.4+595.35+40.21+5.49+1200+347.8+264+290.51</f>
        <v>4271.63</v>
      </c>
      <c r="AC27" s="2">
        <f t="shared" si="8"/>
        <v>4734.9500000000016</v>
      </c>
      <c r="AD27" s="2"/>
      <c r="AE27" s="2">
        <v>324.95999999999998</v>
      </c>
      <c r="AF27" s="2">
        <f t="shared" si="9"/>
        <v>4409.9900000000016</v>
      </c>
      <c r="AG27" s="2"/>
      <c r="AH27" s="2">
        <v>50</v>
      </c>
      <c r="AI27" s="2">
        <f t="shared" si="10"/>
        <v>4359.9900000000016</v>
      </c>
      <c r="AJ27" s="2">
        <f>'[1]Team Account Recons'!AN25</f>
        <v>4360.25</v>
      </c>
      <c r="AK27" s="2">
        <f t="shared" si="11"/>
        <v>-0.25999999999839929</v>
      </c>
    </row>
    <row r="28" spans="1:38" ht="16" x14ac:dyDescent="0.2">
      <c r="A28" s="7" t="s">
        <v>35</v>
      </c>
      <c r="B28" s="2">
        <v>2671.97</v>
      </c>
      <c r="C28" s="6"/>
      <c r="D28" s="6"/>
      <c r="E28" s="6">
        <f t="shared" si="0"/>
        <v>2671.97</v>
      </c>
      <c r="F28" s="6"/>
      <c r="G28" s="2"/>
      <c r="H28" s="2">
        <f t="shared" si="1"/>
        <v>2671.97</v>
      </c>
      <c r="I28" s="2"/>
      <c r="J28" s="2"/>
      <c r="K28" s="2">
        <f t="shared" si="2"/>
        <v>2671.97</v>
      </c>
      <c r="L28" s="2"/>
      <c r="M28" s="2"/>
      <c r="N28" s="2">
        <f t="shared" si="3"/>
        <v>2671.97</v>
      </c>
      <c r="O28" s="2"/>
      <c r="P28" s="2"/>
      <c r="Q28" s="2">
        <f t="shared" si="4"/>
        <v>2671.97</v>
      </c>
      <c r="R28" s="2"/>
      <c r="S28" s="2"/>
      <c r="T28" s="2">
        <f t="shared" si="5"/>
        <v>2671.97</v>
      </c>
      <c r="U28" s="2"/>
      <c r="V28" s="2"/>
      <c r="W28" s="2">
        <f t="shared" si="6"/>
        <v>2671.97</v>
      </c>
      <c r="X28" s="2"/>
      <c r="Y28" s="2"/>
      <c r="Z28" s="2">
        <f t="shared" si="7"/>
        <v>2671.97</v>
      </c>
      <c r="AA28" s="2"/>
      <c r="AB28" s="2"/>
      <c r="AC28" s="2">
        <f t="shared" si="8"/>
        <v>2671.97</v>
      </c>
      <c r="AD28" s="2"/>
      <c r="AE28" s="2"/>
      <c r="AF28" s="2">
        <f t="shared" si="9"/>
        <v>2671.97</v>
      </c>
      <c r="AG28" s="2">
        <f>500+435</f>
        <v>935</v>
      </c>
      <c r="AH28" s="2"/>
      <c r="AI28" s="2">
        <f t="shared" si="10"/>
        <v>3606.97</v>
      </c>
      <c r="AJ28" s="2">
        <f>'[1]Team Account Recons'!AN26</f>
        <v>3172</v>
      </c>
      <c r="AK28" s="2">
        <f t="shared" si="11"/>
        <v>434.9699999999998</v>
      </c>
      <c r="AL28" s="9" t="s">
        <v>31</v>
      </c>
    </row>
    <row r="29" spans="1:38" ht="16" x14ac:dyDescent="0.2">
      <c r="A29" s="7" t="s">
        <v>34</v>
      </c>
      <c r="B29" s="2"/>
      <c r="C29" s="6"/>
      <c r="D29" s="6"/>
      <c r="E29" s="6">
        <f t="shared" si="0"/>
        <v>0</v>
      </c>
      <c r="F29" s="6"/>
      <c r="G29" s="2"/>
      <c r="H29" s="2">
        <f t="shared" si="1"/>
        <v>0</v>
      </c>
      <c r="I29" s="2"/>
      <c r="J29" s="2"/>
      <c r="K29" s="2">
        <f t="shared" si="2"/>
        <v>0</v>
      </c>
      <c r="L29" s="2"/>
      <c r="M29" s="2"/>
      <c r="N29" s="2">
        <f t="shared" si="3"/>
        <v>0</v>
      </c>
      <c r="O29" s="2"/>
      <c r="P29" s="2"/>
      <c r="Q29" s="2">
        <f t="shared" si="4"/>
        <v>0</v>
      </c>
      <c r="R29" s="2"/>
      <c r="S29" s="2"/>
      <c r="T29" s="2">
        <f t="shared" si="5"/>
        <v>0</v>
      </c>
      <c r="U29" s="2">
        <f>240+100+320+440+100+50+120+240+292</f>
        <v>1902</v>
      </c>
      <c r="V29" s="2"/>
      <c r="W29" s="2">
        <f t="shared" si="6"/>
        <v>1902</v>
      </c>
      <c r="X29" s="2">
        <f>12+74+220</f>
        <v>306</v>
      </c>
      <c r="Y29" s="2">
        <f>31.21+408+212</f>
        <v>651.21</v>
      </c>
      <c r="Z29" s="2">
        <f t="shared" si="7"/>
        <v>1556.79</v>
      </c>
      <c r="AA29" s="2">
        <v>1151</v>
      </c>
      <c r="AB29" s="2"/>
      <c r="AC29" s="2">
        <f t="shared" si="8"/>
        <v>2707.79</v>
      </c>
      <c r="AD29" s="2"/>
      <c r="AE29" s="2"/>
      <c r="AF29" s="2">
        <f t="shared" si="9"/>
        <v>2707.79</v>
      </c>
      <c r="AG29" s="2"/>
      <c r="AH29" s="2"/>
      <c r="AI29" s="2">
        <f t="shared" si="10"/>
        <v>2707.79</v>
      </c>
      <c r="AJ29" s="2">
        <f>'[1]Team Account Recons'!AN27</f>
        <v>2708.79</v>
      </c>
      <c r="AK29" s="2">
        <f t="shared" si="11"/>
        <v>-1</v>
      </c>
    </row>
    <row r="30" spans="1:38" ht="16" x14ac:dyDescent="0.2">
      <c r="A30" s="7" t="s">
        <v>33</v>
      </c>
      <c r="B30" s="2"/>
      <c r="C30" s="6"/>
      <c r="D30" s="6"/>
      <c r="E30" s="6">
        <f t="shared" si="0"/>
        <v>0</v>
      </c>
      <c r="F30" s="6"/>
      <c r="G30" s="2"/>
      <c r="H30" s="2">
        <f t="shared" si="1"/>
        <v>0</v>
      </c>
      <c r="I30" s="2"/>
      <c r="J30" s="2"/>
      <c r="K30" s="2">
        <f t="shared" si="2"/>
        <v>0</v>
      </c>
      <c r="L30" s="2"/>
      <c r="M30" s="2"/>
      <c r="N30" s="2">
        <f t="shared" si="3"/>
        <v>0</v>
      </c>
      <c r="O30" s="2"/>
      <c r="P30" s="2"/>
      <c r="Q30" s="2">
        <f t="shared" si="4"/>
        <v>0</v>
      </c>
      <c r="R30" s="2"/>
      <c r="S30" s="2"/>
      <c r="T30" s="2">
        <f t="shared" si="5"/>
        <v>0</v>
      </c>
      <c r="U30" s="2"/>
      <c r="V30" s="2"/>
      <c r="W30" s="2">
        <f t="shared" si="6"/>
        <v>0</v>
      </c>
      <c r="X30" s="2"/>
      <c r="Y30" s="2"/>
      <c r="Z30" s="2">
        <f t="shared" si="7"/>
        <v>0</v>
      </c>
      <c r="AA30" s="2"/>
      <c r="AB30" s="2"/>
      <c r="AC30" s="2">
        <f t="shared" si="8"/>
        <v>0</v>
      </c>
      <c r="AD30" s="2"/>
      <c r="AE30" s="2"/>
      <c r="AF30" s="2">
        <f t="shared" si="9"/>
        <v>0</v>
      </c>
      <c r="AG30" s="2"/>
      <c r="AH30" s="2"/>
      <c r="AI30" s="2">
        <f t="shared" si="10"/>
        <v>0</v>
      </c>
      <c r="AJ30" s="2">
        <f>'[1]Team Account Recons'!AN28</f>
        <v>1</v>
      </c>
      <c r="AK30" s="2">
        <f t="shared" si="11"/>
        <v>-1</v>
      </c>
    </row>
    <row r="31" spans="1:38" ht="17" thickBot="1" x14ac:dyDescent="0.25">
      <c r="A31" s="7" t="s">
        <v>32</v>
      </c>
      <c r="B31" s="2"/>
      <c r="C31" s="6"/>
      <c r="D31" s="6"/>
      <c r="E31" s="6">
        <f t="shared" si="0"/>
        <v>0</v>
      </c>
      <c r="F31" s="6"/>
      <c r="G31" s="2"/>
      <c r="H31" s="2">
        <f t="shared" si="1"/>
        <v>0</v>
      </c>
      <c r="I31" s="2"/>
      <c r="J31" s="2"/>
      <c r="K31" s="2">
        <f t="shared" si="2"/>
        <v>0</v>
      </c>
      <c r="L31" s="2"/>
      <c r="M31" s="2"/>
      <c r="N31" s="2">
        <f t="shared" si="3"/>
        <v>0</v>
      </c>
      <c r="O31" s="2"/>
      <c r="P31" s="2"/>
      <c r="Q31" s="2">
        <f t="shared" si="4"/>
        <v>0</v>
      </c>
      <c r="R31" s="2"/>
      <c r="S31" s="2"/>
      <c r="T31" s="2">
        <f t="shared" si="5"/>
        <v>0</v>
      </c>
      <c r="U31" s="2"/>
      <c r="V31" s="2"/>
      <c r="W31" s="2">
        <f t="shared" si="6"/>
        <v>0</v>
      </c>
      <c r="X31" s="2"/>
      <c r="Y31" s="2"/>
      <c r="Z31" s="2">
        <f t="shared" si="7"/>
        <v>0</v>
      </c>
      <c r="AA31" s="2"/>
      <c r="AB31" s="2"/>
      <c r="AC31" s="2">
        <f t="shared" si="8"/>
        <v>0</v>
      </c>
      <c r="AD31" s="2">
        <f>100+150+250+100+150</f>
        <v>750</v>
      </c>
      <c r="AF31" s="2">
        <f t="shared" si="9"/>
        <v>750</v>
      </c>
      <c r="AG31" s="2">
        <v>168</v>
      </c>
      <c r="AH31" s="2"/>
      <c r="AI31" s="2">
        <f t="shared" si="10"/>
        <v>918</v>
      </c>
      <c r="AJ31" s="2">
        <f>'[1]Team Account Recons'!AN29</f>
        <v>751</v>
      </c>
      <c r="AK31" s="2">
        <f t="shared" si="11"/>
        <v>167</v>
      </c>
      <c r="AL31" t="s">
        <v>31</v>
      </c>
    </row>
    <row r="32" spans="1:38" ht="17" thickBot="1" x14ac:dyDescent="0.25">
      <c r="A32" s="11" t="s">
        <v>30</v>
      </c>
      <c r="B32" s="11">
        <f t="shared" ref="B32:AK32" si="12">SUM(B5:B31)</f>
        <v>174721.00999999998</v>
      </c>
      <c r="C32" s="11">
        <f t="shared" si="12"/>
        <v>7522</v>
      </c>
      <c r="D32" s="11">
        <f t="shared" si="12"/>
        <v>13016.759999999998</v>
      </c>
      <c r="E32" s="11">
        <f t="shared" si="12"/>
        <v>169226.24999999997</v>
      </c>
      <c r="F32" s="11">
        <f t="shared" si="12"/>
        <v>26333.8</v>
      </c>
      <c r="G32" s="11">
        <f t="shared" si="12"/>
        <v>8697.34</v>
      </c>
      <c r="H32" s="11">
        <f t="shared" si="12"/>
        <v>186862.70999999996</v>
      </c>
      <c r="I32" s="11">
        <f t="shared" si="12"/>
        <v>36972.04</v>
      </c>
      <c r="J32" s="11">
        <f t="shared" si="12"/>
        <v>21171.55</v>
      </c>
      <c r="K32" s="11">
        <f t="shared" si="12"/>
        <v>202663.19999999998</v>
      </c>
      <c r="L32" s="11">
        <f t="shared" si="12"/>
        <v>45343.7</v>
      </c>
      <c r="M32" s="11">
        <f t="shared" si="12"/>
        <v>19344.699999999997</v>
      </c>
      <c r="N32" s="11">
        <f t="shared" si="12"/>
        <v>228662.19999999992</v>
      </c>
      <c r="O32" s="11">
        <f t="shared" si="12"/>
        <v>1820.25</v>
      </c>
      <c r="P32" s="11">
        <f t="shared" si="12"/>
        <v>6776.0499999999993</v>
      </c>
      <c r="Q32" s="11">
        <f t="shared" si="12"/>
        <v>223706.39999999994</v>
      </c>
      <c r="R32" s="11">
        <f t="shared" si="12"/>
        <v>14548.35</v>
      </c>
      <c r="S32" s="11">
        <f t="shared" si="12"/>
        <v>7700.11</v>
      </c>
      <c r="T32" s="11">
        <f t="shared" si="12"/>
        <v>230554.63999999996</v>
      </c>
      <c r="U32" s="11">
        <f t="shared" si="12"/>
        <v>24214.86</v>
      </c>
      <c r="V32" s="11">
        <f t="shared" si="12"/>
        <v>14260.199999999999</v>
      </c>
      <c r="W32" s="11">
        <f t="shared" si="12"/>
        <v>240509.3</v>
      </c>
      <c r="X32" s="11">
        <f t="shared" si="12"/>
        <v>23737.68</v>
      </c>
      <c r="Y32" s="11">
        <f t="shared" si="12"/>
        <v>36823.770000000004</v>
      </c>
      <c r="Z32" s="11">
        <f t="shared" si="12"/>
        <v>227423.20999999996</v>
      </c>
      <c r="AA32" s="11">
        <f t="shared" si="12"/>
        <v>34711.07</v>
      </c>
      <c r="AB32" s="11">
        <f t="shared" si="12"/>
        <v>26672.1</v>
      </c>
      <c r="AC32" s="11">
        <f t="shared" si="12"/>
        <v>235462.17999999996</v>
      </c>
      <c r="AD32" s="11">
        <f t="shared" si="12"/>
        <v>16250.720000000001</v>
      </c>
      <c r="AE32" s="11">
        <f t="shared" si="12"/>
        <v>25958.03</v>
      </c>
      <c r="AF32" s="11">
        <f t="shared" si="12"/>
        <v>225754.86999999997</v>
      </c>
      <c r="AG32" s="11">
        <f t="shared" si="12"/>
        <v>7363.58</v>
      </c>
      <c r="AH32" s="11">
        <f t="shared" si="12"/>
        <v>19491.349999999999</v>
      </c>
      <c r="AI32" s="11">
        <f t="shared" si="12"/>
        <v>213627.09999999998</v>
      </c>
      <c r="AJ32" s="11">
        <f t="shared" si="12"/>
        <v>213136.26</v>
      </c>
      <c r="AK32" s="11">
        <f t="shared" si="12"/>
        <v>490.84000000000435</v>
      </c>
    </row>
    <row r="35" spans="3:29" x14ac:dyDescent="0.2">
      <c r="E35" s="6"/>
      <c r="F35" s="2"/>
      <c r="G35" s="2"/>
      <c r="H35" s="2"/>
      <c r="I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3:29" x14ac:dyDescent="0.2">
      <c r="C36" s="6"/>
      <c r="E36" s="6"/>
      <c r="F36" s="2"/>
      <c r="G36" s="2"/>
      <c r="H36" s="2"/>
      <c r="I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3:29" x14ac:dyDescent="0.2">
      <c r="C37" s="6"/>
      <c r="F37" s="5"/>
    </row>
    <row r="38" spans="3:29" x14ac:dyDescent="0.2">
      <c r="C38" s="6"/>
    </row>
    <row r="39" spans="3:29" x14ac:dyDescent="0.2">
      <c r="C39" s="6"/>
      <c r="F39" s="5"/>
    </row>
    <row r="40" spans="3:29" x14ac:dyDescent="0.2">
      <c r="C40" s="6"/>
      <c r="F40" s="5"/>
      <c r="H40" s="10"/>
    </row>
    <row r="41" spans="3:29" x14ac:dyDescent="0.2">
      <c r="C41" s="6"/>
      <c r="F41" s="5"/>
    </row>
    <row r="42" spans="3:29" x14ac:dyDescent="0.2">
      <c r="C42" s="6"/>
      <c r="F42" s="5"/>
    </row>
    <row r="43" spans="3:29" x14ac:dyDescent="0.2">
      <c r="C43" s="6"/>
      <c r="F43" s="5"/>
    </row>
    <row r="44" spans="3:29" x14ac:dyDescent="0.2">
      <c r="C44" s="6"/>
      <c r="F44" s="5"/>
    </row>
    <row r="45" spans="3:29" x14ac:dyDescent="0.2">
      <c r="C45" s="6"/>
      <c r="L45" s="5"/>
    </row>
    <row r="46" spans="3:29" x14ac:dyDescent="0.2">
      <c r="C46" s="6"/>
      <c r="G46" s="5"/>
      <c r="I46" s="5"/>
    </row>
    <row r="47" spans="3:29" x14ac:dyDescent="0.2">
      <c r="C47" s="6"/>
      <c r="M47" s="5"/>
    </row>
  </sheetData>
  <conditionalFormatting sqref="A5:A31">
    <cfRule type="expression" dxfId="0" priority="1" stopIfTrue="1">
      <formula>"MOD(ROW(),2) = 1"</formula>
    </cfRule>
  </conditionalFormatting>
  <pageMargins left="0.25" right="0.25" top="0.75" bottom="0.75" header="0.3" footer="0.3"/>
  <pageSetup scale="80"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General Account July 22-June 23</vt:lpstr>
      <vt:lpstr>Team Accounts July 22- June 23</vt:lpstr>
      <vt:lpstr>'General Account July 22-June 23'!Print_Area</vt:lpstr>
      <vt:lpstr>'Team Accounts July 22- June 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Mahlum</dc:creator>
  <cp:lastModifiedBy>Wendy Sykes</cp:lastModifiedBy>
  <cp:lastPrinted>2023-02-14T01:23:02Z</cp:lastPrinted>
  <dcterms:created xsi:type="dcterms:W3CDTF">2023-02-13T05:13:29Z</dcterms:created>
  <dcterms:modified xsi:type="dcterms:W3CDTF">2023-02-14T01:52:43Z</dcterms:modified>
</cp:coreProperties>
</file>