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frankfulton/Library/Mobile Documents/com~apple~CloudDocs/RABC/"/>
    </mc:Choice>
  </mc:AlternateContent>
  <xr:revisionPtr revIDLastSave="0" documentId="8_{2AB3C307-037C-584B-973B-FF41254AE098}" xr6:coauthVersionLast="32" xr6:coauthVersionMax="32" xr10:uidLastSave="{00000000-0000-0000-0000-000000000000}"/>
  <bookViews>
    <workbookView xWindow="60" yWindow="460" windowWidth="12840" windowHeight="8500" tabRatio="467" xr2:uid="{00000000-000D-0000-FFFF-FFFF00000000}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9017"/>
</workbook>
</file>

<file path=xl/calcChain.xml><?xml version="1.0" encoding="utf-8"?>
<calcChain xmlns="http://schemas.openxmlformats.org/spreadsheetml/2006/main">
  <c r="AD24" i="14" l="1"/>
  <c r="AD23" i="14"/>
  <c r="X21" i="13"/>
  <c r="X28" i="13"/>
  <c r="X10" i="13"/>
  <c r="X8" i="13"/>
  <c r="I6" i="15"/>
  <c r="X11" i="13"/>
  <c r="X7" i="13"/>
  <c r="X9" i="13"/>
  <c r="X18" i="13"/>
  <c r="X6" i="13"/>
  <c r="X23" i="13"/>
  <c r="X14" i="13"/>
  <c r="X26" i="13"/>
  <c r="X13" i="13"/>
  <c r="X16" i="13"/>
  <c r="X25" i="13"/>
  <c r="X5" i="13"/>
  <c r="X19" i="13"/>
  <c r="X12" i="13"/>
  <c r="X27" i="13"/>
  <c r="X15" i="13"/>
  <c r="X17" i="13"/>
  <c r="X24" i="13"/>
  <c r="I19" i="10" l="1"/>
  <c r="I8" i="10"/>
  <c r="I4" i="10"/>
  <c r="I3" i="10"/>
  <c r="I21" i="10" l="1"/>
  <c r="I7" i="10"/>
  <c r="I6" i="10"/>
  <c r="F64" i="17" l="1"/>
  <c r="F66" i="17" s="1"/>
  <c r="U17" i="13" l="1"/>
  <c r="U11" i="13"/>
  <c r="U10" i="13"/>
  <c r="H21" i="10"/>
  <c r="AE7" i="14"/>
  <c r="AE9" i="14"/>
  <c r="AE11" i="14"/>
  <c r="AE13" i="14"/>
  <c r="AE14" i="14"/>
  <c r="AE17" i="14"/>
  <c r="AE18" i="14"/>
  <c r="AE19" i="14"/>
  <c r="AE20" i="14"/>
  <c r="AE21" i="14"/>
  <c r="AE23" i="14"/>
  <c r="AE24" i="14"/>
  <c r="AE25" i="14"/>
  <c r="AE29" i="14"/>
  <c r="H3" i="10"/>
  <c r="H8" i="10"/>
  <c r="H4" i="10"/>
  <c r="G8" i="10"/>
  <c r="G3" i="10"/>
  <c r="J48" i="17"/>
  <c r="I42" i="17"/>
  <c r="I43" i="17" s="1"/>
  <c r="F41" i="17"/>
  <c r="F42" i="17" s="1"/>
  <c r="G29" i="17"/>
  <c r="F29" i="17"/>
  <c r="G30" i="17" l="1"/>
  <c r="J49" i="17"/>
  <c r="J50" i="17" s="1"/>
  <c r="AA19" i="17"/>
  <c r="M15" i="13" l="1"/>
  <c r="S19" i="13" l="1"/>
  <c r="G21" i="10"/>
  <c r="S6" i="13" l="1"/>
  <c r="G4" i="10"/>
  <c r="Q78" i="17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P17" i="13" l="1"/>
  <c r="O17" i="13"/>
  <c r="F4" i="10"/>
  <c r="O6" i="13"/>
  <c r="P27" i="13"/>
  <c r="P23" i="13"/>
  <c r="P20" i="13"/>
  <c r="P19" i="13"/>
  <c r="P16" i="13"/>
  <c r="P6" i="13"/>
  <c r="F21" i="10"/>
  <c r="F3" i="10"/>
  <c r="AK58" i="10"/>
  <c r="AJ63" i="10"/>
  <c r="AK63" i="10" s="1"/>
  <c r="E21" i="10" l="1"/>
  <c r="E4" i="10"/>
  <c r="E3" i="10"/>
  <c r="M7" i="13"/>
  <c r="M27" i="13"/>
  <c r="AL27" i="13" s="1"/>
  <c r="L6" i="13"/>
  <c r="I16" i="13"/>
  <c r="AK16" i="13" s="1"/>
  <c r="D4" i="10"/>
  <c r="I23" i="13"/>
  <c r="D3" i="10"/>
  <c r="I6" i="13"/>
  <c r="D21" i="10"/>
  <c r="I15" i="13"/>
  <c r="I7" i="13"/>
  <c r="I17" i="13"/>
  <c r="AK17" i="13" s="1"/>
  <c r="I10" i="13"/>
  <c r="AK10" i="13" s="1"/>
  <c r="F7" i="13"/>
  <c r="AK7" i="13" s="1"/>
  <c r="C4" i="10"/>
  <c r="C3" i="10"/>
  <c r="C13" i="10" s="1"/>
  <c r="F15" i="13"/>
  <c r="G15" i="13"/>
  <c r="G23" i="13"/>
  <c r="G17" i="13"/>
  <c r="C21" i="10"/>
  <c r="C53" i="10" s="1"/>
  <c r="B3" i="10"/>
  <c r="C16" i="13"/>
  <c r="B4" i="10"/>
  <c r="B13" i="10" s="1"/>
  <c r="C15" i="13"/>
  <c r="B23" i="10"/>
  <c r="B53" i="10" s="1"/>
  <c r="B21" i="10"/>
  <c r="C28" i="13"/>
  <c r="D15" i="13"/>
  <c r="I30" i="15"/>
  <c r="AC5" i="14"/>
  <c r="AC28" i="14"/>
  <c r="AE28" i="14" s="1"/>
  <c r="AB5" i="14"/>
  <c r="AB6" i="14"/>
  <c r="AE6" i="14" s="1"/>
  <c r="AB12" i="14"/>
  <c r="AE12" i="14" s="1"/>
  <c r="AB15" i="14"/>
  <c r="AE15" i="14" s="1"/>
  <c r="AB16" i="14"/>
  <c r="AE16" i="14" s="1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F26" i="15"/>
  <c r="E26" i="15"/>
  <c r="D26" i="15"/>
  <c r="C26" i="15"/>
  <c r="B26" i="15"/>
  <c r="B30" i="15" s="1"/>
  <c r="F23" i="15"/>
  <c r="F30" i="15" s="1"/>
  <c r="E23" i="15"/>
  <c r="E30" i="15" s="1"/>
  <c r="D23" i="15"/>
  <c r="D30" i="15"/>
  <c r="G21" i="15"/>
  <c r="C16" i="15"/>
  <c r="C30" i="15" s="1"/>
  <c r="G8" i="15"/>
  <c r="G30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8" i="10"/>
  <c r="H53" i="10"/>
  <c r="H13" i="10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E22" i="14" s="1"/>
  <c r="AA5" i="14"/>
  <c r="AE5" i="14" s="1"/>
  <c r="AA8" i="14"/>
  <c r="AE8" i="14" s="1"/>
  <c r="AA10" i="14"/>
  <c r="AE10" i="14" s="1"/>
  <c r="AA26" i="14"/>
  <c r="AE26" i="14" s="1"/>
  <c r="AA27" i="14"/>
  <c r="AE27" i="14" s="1"/>
  <c r="I53" i="10"/>
  <c r="M59" i="10" s="1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 s="1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 s="1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Z25" i="14"/>
  <c r="X12" i="14"/>
  <c r="Z12" i="14"/>
  <c r="Z6" i="14"/>
  <c r="Z64" i="14" s="1"/>
  <c r="X5" i="14"/>
  <c r="X64" i="14" s="1"/>
  <c r="D45" i="16"/>
  <c r="M30" i="10"/>
  <c r="Y30" i="10" s="1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/>
  <c r="AE41" i="14"/>
  <c r="AE42" i="14"/>
  <c r="AE43" i="14"/>
  <c r="AE44" i="14"/>
  <c r="AE45" i="14"/>
  <c r="AE46" i="14"/>
  <c r="AE47" i="14"/>
  <c r="V48" i="14"/>
  <c r="AE48" i="14" s="1"/>
  <c r="AE49" i="14"/>
  <c r="AE50" i="14"/>
  <c r="AE51" i="14"/>
  <c r="AE52" i="14"/>
  <c r="U53" i="14"/>
  <c r="AE53" i="14" s="1"/>
  <c r="V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 s="1"/>
  <c r="M49" i="10"/>
  <c r="X49" i="10" s="1"/>
  <c r="M32" i="10"/>
  <c r="X32" i="10"/>
  <c r="M27" i="10"/>
  <c r="X27" i="10" s="1"/>
  <c r="M28" i="10"/>
  <c r="X28" i="10" s="1"/>
  <c r="M29" i="10"/>
  <c r="Y29" i="10" s="1"/>
  <c r="M16" i="10"/>
  <c r="Y16" i="10"/>
  <c r="M48" i="10"/>
  <c r="X48" i="10" s="1"/>
  <c r="M47" i="10"/>
  <c r="X47" i="10" s="1"/>
  <c r="M43" i="10"/>
  <c r="X43" i="10" s="1"/>
  <c r="M44" i="10"/>
  <c r="X44" i="10"/>
  <c r="M46" i="10"/>
  <c r="X46" i="10" s="1"/>
  <c r="M52" i="10"/>
  <c r="X52" i="10" s="1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D33" i="14"/>
  <c r="D32" i="14"/>
  <c r="D30" i="14"/>
  <c r="O8" i="14"/>
  <c r="N8" i="14"/>
  <c r="L8" i="14"/>
  <c r="T27" i="14"/>
  <c r="T62" i="14" s="1"/>
  <c r="N27" i="14"/>
  <c r="M27" i="14"/>
  <c r="E27" i="14"/>
  <c r="S26" i="14"/>
  <c r="O26" i="14"/>
  <c r="M26" i="14"/>
  <c r="N23" i="14"/>
  <c r="M23" i="14"/>
  <c r="O22" i="14"/>
  <c r="N22" i="14"/>
  <c r="L22" i="14"/>
  <c r="L62" i="14" s="1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R62" i="14" s="1"/>
  <c r="O18" i="14"/>
  <c r="N18" i="14"/>
  <c r="N62" i="14" s="1"/>
  <c r="M18" i="14"/>
  <c r="L18" i="14"/>
  <c r="J18" i="14"/>
  <c r="E18" i="14"/>
  <c r="D18" i="14"/>
  <c r="B18" i="14"/>
  <c r="R17" i="14"/>
  <c r="O17" i="14"/>
  <c r="N17" i="14"/>
  <c r="M17" i="14"/>
  <c r="L17" i="14"/>
  <c r="I17" i="14"/>
  <c r="I62" i="14" s="1"/>
  <c r="H17" i="14"/>
  <c r="H62" i="14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O6" i="14"/>
  <c r="N6" i="14"/>
  <c r="M6" i="14"/>
  <c r="L6" i="14"/>
  <c r="G6" i="14"/>
  <c r="G62" i="14" s="1"/>
  <c r="E6" i="14"/>
  <c r="O5" i="14"/>
  <c r="M5" i="14"/>
  <c r="L5" i="14"/>
  <c r="K5" i="14"/>
  <c r="K62" i="14" s="1"/>
  <c r="J5" i="14"/>
  <c r="I5" i="14"/>
  <c r="F5" i="14"/>
  <c r="E5" i="14"/>
  <c r="D5" i="14"/>
  <c r="C5" i="14"/>
  <c r="C62" i="14" s="1"/>
  <c r="G4" i="14"/>
  <c r="H4" i="14" s="1"/>
  <c r="I4" i="14"/>
  <c r="J4" i="14" s="1"/>
  <c r="K4" i="14" s="1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G29" i="13"/>
  <c r="AE29" i="13"/>
  <c r="AD29" i="13"/>
  <c r="AB29" i="13"/>
  <c r="AA29" i="13"/>
  <c r="D53" i="10"/>
  <c r="M42" i="10"/>
  <c r="X42" i="10"/>
  <c r="M41" i="10"/>
  <c r="X41" i="10" s="1"/>
  <c r="M40" i="10"/>
  <c r="X40" i="10" s="1"/>
  <c r="M39" i="10"/>
  <c r="X39" i="10" s="1"/>
  <c r="M38" i="10"/>
  <c r="X38" i="10"/>
  <c r="M37" i="10"/>
  <c r="X37" i="10" s="1"/>
  <c r="M36" i="10"/>
  <c r="X36" i="10" s="1"/>
  <c r="M35" i="10"/>
  <c r="X35" i="10" s="1"/>
  <c r="M34" i="10"/>
  <c r="X34" i="10"/>
  <c r="M33" i="10"/>
  <c r="X33" i="10" s="1"/>
  <c r="M17" i="10"/>
  <c r="Y17" i="10" s="1"/>
  <c r="M31" i="10"/>
  <c r="X31" i="10" s="1"/>
  <c r="M26" i="10"/>
  <c r="X26" i="10"/>
  <c r="M25" i="10"/>
  <c r="X25" i="10" s="1"/>
  <c r="M24" i="10"/>
  <c r="X24" i="10" s="1"/>
  <c r="M23" i="10"/>
  <c r="X23" i="10" s="1"/>
  <c r="M22" i="10"/>
  <c r="X22" i="10"/>
  <c r="M18" i="10"/>
  <c r="X18" i="10" s="1"/>
  <c r="M20" i="10"/>
  <c r="W20" i="10" s="1"/>
  <c r="W54" i="10" s="1"/>
  <c r="M15" i="10"/>
  <c r="Y15" i="10" s="1"/>
  <c r="M12" i="10"/>
  <c r="M11" i="10"/>
  <c r="S11" i="10" s="1"/>
  <c r="S54" i="10" s="1"/>
  <c r="M10" i="10"/>
  <c r="M9" i="10"/>
  <c r="M6" i="10"/>
  <c r="V6" i="10" s="1"/>
  <c r="M5" i="10"/>
  <c r="T5" i="10"/>
  <c r="M7" i="10"/>
  <c r="T7" i="10" s="1"/>
  <c r="Z7" i="10" s="1"/>
  <c r="U29" i="13"/>
  <c r="Y29" i="13"/>
  <c r="X29" i="13"/>
  <c r="R29" i="13"/>
  <c r="P29" i="13"/>
  <c r="O29" i="13"/>
  <c r="V29" i="13"/>
  <c r="V64" i="14"/>
  <c r="E62" i="14"/>
  <c r="F62" i="14"/>
  <c r="J29" i="13"/>
  <c r="B29" i="13"/>
  <c r="L29" i="13"/>
  <c r="M19" i="10"/>
  <c r="U19" i="10" s="1"/>
  <c r="U54" i="10" s="1"/>
  <c r="U56" i="10" s="1"/>
  <c r="M45" i="10"/>
  <c r="X45" i="10" s="1"/>
  <c r="U55" i="10"/>
  <c r="S29" i="13"/>
  <c r="I13" i="10"/>
  <c r="M58" i="10" s="1"/>
  <c r="M21" i="10"/>
  <c r="X21" i="10" s="1"/>
  <c r="AL8" i="13"/>
  <c r="AC64" i="14" l="1"/>
  <c r="AL15" i="13"/>
  <c r="AK15" i="13"/>
  <c r="M62" i="14"/>
  <c r="D62" i="14"/>
  <c r="J62" i="14"/>
  <c r="B62" i="14"/>
  <c r="D13" i="10"/>
  <c r="M13" i="10" s="1"/>
  <c r="AB64" i="14"/>
  <c r="D29" i="13"/>
  <c r="E15" i="13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M60" i="10"/>
  <c r="M62" i="10" s="1"/>
  <c r="T54" i="10"/>
  <c r="R56" i="10" s="1"/>
  <c r="M3" i="10"/>
  <c r="R3" i="10" s="1"/>
  <c r="Z3" i="10" s="1"/>
  <c r="P73" i="10"/>
  <c r="M4" i="10"/>
  <c r="R4" i="10" s="1"/>
  <c r="Z4" i="10" s="1"/>
  <c r="M53" i="10"/>
  <c r="X54" i="10"/>
  <c r="Y54" i="10"/>
  <c r="T5" i="13"/>
  <c r="Z6" i="10"/>
  <c r="V54" i="10"/>
  <c r="Z5" i="10"/>
  <c r="U64" i="14"/>
  <c r="AA64" i="14"/>
  <c r="P72" i="10"/>
  <c r="S62" i="14"/>
  <c r="S64" i="14"/>
  <c r="V62" i="14"/>
  <c r="Z11" i="10"/>
  <c r="O62" i="14"/>
  <c r="U62" i="14"/>
  <c r="AE62" i="14" s="1"/>
  <c r="AF16" i="14" s="1"/>
  <c r="H29" i="13" l="1"/>
  <c r="AK29" i="13"/>
  <c r="R55" i="10"/>
  <c r="P75" i="10"/>
  <c r="AL29" i="13"/>
  <c r="Q29" i="13"/>
  <c r="N29" i="13"/>
  <c r="K29" i="13"/>
  <c r="E29" i="13"/>
  <c r="R54" i="10"/>
  <c r="AF10" i="14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Mirick</author>
  </authors>
  <commentList>
    <comment ref="X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 donation from raffle winner</t>
        </r>
      </text>
    </comment>
    <comment ref="X10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500 donation from raffle winnings
</t>
        </r>
      </text>
    </comment>
    <comment ref="X2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donation from raffle winnings</t>
        </r>
      </text>
    </comment>
    <comment ref="X2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Tim Mirick:</t>
        </r>
        <r>
          <rPr>
            <sz val="9"/>
            <color indexed="81"/>
            <rFont val="Tahoma"/>
            <charset val="1"/>
          </rPr>
          <t xml:space="preserve">
includes 1000 donated from raffle winnings
</t>
        </r>
      </text>
    </comment>
  </commentList>
</comments>
</file>

<file path=xl/sharedStrings.xml><?xml version="1.0" encoding="utf-8"?>
<sst xmlns="http://schemas.openxmlformats.org/spreadsheetml/2006/main" count="2297" uniqueCount="1071">
  <si>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</si>
  <si>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</si>
  <si>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</si>
  <si>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</si>
  <si>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</si>
  <si>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</si>
  <si>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</si>
  <si>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</si>
  <si>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</si>
  <si>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</si>
  <si>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</si>
  <si>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</si>
  <si>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</si>
  <si>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</si>
  <si>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</si>
  <si>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</si>
  <si>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</si>
  <si>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</si>
  <si>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</si>
  <si>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</si>
  <si>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</si>
  <si>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</si>
  <si>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</si>
  <si>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</si>
  <si>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</si>
  <si>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</si>
  <si>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</si>
  <si>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</si>
  <si>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</si>
  <si>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</si>
  <si>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</si>
  <si>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</si>
  <si>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</si>
  <si>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</si>
  <si>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</si>
  <si>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</si>
  <si>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</si>
  <si>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</si>
  <si>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</si>
  <si>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</si>
  <si>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</si>
  <si>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</si>
  <si>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</si>
  <si>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</si>
  <si>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</si>
  <si>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</si>
  <si>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</si>
  <si>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</si>
  <si>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</si>
  <si>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</si>
  <si>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</si>
  <si>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</si>
  <si>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</si>
  <si>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</si>
  <si>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</si>
  <si>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</si>
  <si>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</si>
  <si>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</si>
  <si>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</si>
  <si>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</si>
  <si>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</si>
  <si>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</si>
  <si>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</si>
  <si>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</si>
  <si>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</si>
  <si>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</si>
  <si>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</si>
  <si>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</si>
  <si>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</si>
  <si>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</si>
  <si>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</si>
  <si>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</si>
  <si>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</si>
  <si>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</si>
  <si>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</si>
  <si>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</si>
  <si>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</si>
  <si>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</si>
  <si>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</si>
  <si>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</si>
  <si>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</si>
  <si>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</si>
  <si>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</si>
  <si>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</si>
  <si>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</si>
  <si>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</si>
  <si>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</si>
  <si>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</si>
  <si>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</si>
  <si>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</si>
  <si>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</si>
  <si>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</si>
  <si>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</si>
  <si>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</si>
  <si>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</si>
  <si>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</si>
  <si>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</si>
  <si>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</si>
  <si>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</si>
  <si>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</si>
  <si>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</si>
  <si>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</si>
  <si>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</si>
  <si>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</si>
  <si>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</si>
  <si>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</si>
  <si>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</si>
  <si>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</si>
  <si>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</si>
  <si>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</si>
  <si>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</si>
  <si>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</si>
  <si>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</si>
  <si>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</si>
  <si>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</si>
  <si>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</si>
  <si>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</si>
  <si>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</si>
  <si>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</si>
  <si>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</si>
  <si>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</si>
  <si>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</si>
  <si>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</si>
  <si>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</si>
  <si>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</si>
  <si>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</si>
  <si>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</si>
  <si>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</si>
  <si>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</si>
  <si>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</si>
  <si>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</si>
  <si>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</si>
  <si>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</si>
  <si>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</si>
  <si>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</si>
  <si>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</si>
  <si>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</si>
  <si>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</si>
  <si>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</si>
  <si>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</si>
  <si>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</si>
  <si>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</si>
  <si>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</si>
  <si>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</si>
  <si>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</si>
  <si>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</si>
  <si>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</si>
  <si>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</si>
  <si>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</si>
  <si>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</si>
  <si>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</si>
  <si>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</si>
  <si>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</si>
  <si>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</si>
  <si>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</si>
  <si>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</si>
  <si>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</si>
  <si>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</si>
  <si>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</si>
  <si>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</si>
  <si>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</si>
  <si>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</si>
  <si>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</si>
  <si>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</si>
  <si>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</si>
  <si>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</si>
  <si>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</si>
  <si>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</si>
  <si>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</si>
  <si>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</si>
  <si>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</si>
  <si>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</si>
  <si>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</si>
  <si>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</si>
  <si>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</si>
  <si>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</si>
  <si>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</si>
  <si>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</si>
  <si>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</si>
  <si>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</si>
  <si>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</si>
  <si>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</si>
  <si>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</si>
  <si>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</si>
  <si>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</si>
  <si>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</si>
  <si>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</si>
  <si>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</si>
  <si>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</si>
  <si>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</si>
  <si>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</si>
  <si>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</si>
  <si>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</si>
  <si>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</si>
  <si>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</si>
  <si>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</si>
  <si>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</si>
  <si>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</si>
  <si>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</si>
  <si>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</si>
  <si>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</si>
  <si>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</si>
  <si>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</si>
  <si>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</si>
  <si>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</si>
  <si>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</si>
  <si>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</si>
  <si>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</si>
  <si>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</si>
  <si>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</si>
  <si>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</si>
  <si>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</si>
  <si>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</si>
  <si>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</si>
  <si>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</si>
  <si>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</si>
  <si>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</si>
  <si>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</si>
  <si>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</si>
  <si>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</si>
  <si>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</si>
  <si>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</si>
  <si>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</si>
  <si>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</si>
  <si>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</si>
  <si>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</si>
  <si>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</si>
  <si>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</si>
  <si>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</si>
  <si>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</si>
  <si>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</si>
  <si>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</si>
  <si>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</si>
  <si>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</si>
  <si>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</si>
  <si>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</si>
  <si>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</si>
  <si>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</si>
  <si>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</si>
  <si>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</si>
  <si>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</si>
  <si>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</si>
  <si>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</si>
  <si>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</si>
  <si>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</si>
  <si>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</si>
  <si>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</si>
  <si>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</si>
  <si>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</si>
  <si>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</si>
  <si>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</si>
  <si>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</si>
  <si>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</si>
  <si>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</si>
  <si>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</si>
  <si>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</si>
  <si>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</si>
  <si>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</si>
  <si>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</si>
  <si>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</si>
  <si>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</si>
  <si>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</si>
  <si>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</si>
  <si>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</si>
  <si>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</si>
  <si>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</si>
  <si>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</si>
  <si>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</si>
  <si>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</si>
  <si>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</si>
  <si>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</si>
  <si>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</si>
  <si>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</si>
  <si>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</si>
  <si>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</si>
  <si>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</si>
  <si>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</si>
  <si>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</si>
  <si>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</si>
  <si>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</si>
  <si>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</si>
  <si>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</si>
  <si>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</si>
  <si>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</si>
  <si>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</si>
  <si>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</si>
  <si>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</si>
  <si>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</si>
  <si>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</si>
  <si>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</si>
  <si>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</si>
  <si>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</si>
  <si>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</si>
  <si>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</si>
  <si>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</si>
  <si>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</si>
  <si>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</si>
  <si>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</si>
  <si>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</si>
  <si>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</si>
  <si>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</si>
  <si>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</si>
  <si>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</si>
  <si>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</si>
  <si>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</si>
  <si>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</si>
  <si>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</si>
  <si>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</si>
  <si>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</si>
  <si>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</si>
  <si>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</si>
  <si>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</si>
  <si>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</si>
  <si>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</si>
  <si>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</si>
  <si>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</si>
  <si>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</si>
  <si>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</si>
  <si>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</si>
  <si>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</si>
  <si>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</si>
  <si>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</si>
  <si>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</si>
  <si>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</si>
  <si>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</si>
  <si>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</si>
  <si>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</si>
  <si>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</si>
  <si>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</si>
  <si>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</si>
  <si>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</si>
  <si>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</si>
  <si>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</si>
  <si>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</si>
  <si>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</si>
  <si>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</si>
  <si>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</si>
  <si>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</si>
  <si>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</si>
  <si>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</si>
  <si>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</si>
  <si>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</si>
  <si>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</si>
  <si>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</si>
  <si>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</si>
  <si>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</si>
  <si>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</si>
  <si>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</si>
  <si>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</si>
  <si>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</si>
  <si>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</si>
  <si>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</si>
  <si>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</si>
  <si>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</si>
  <si>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</si>
  <si>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</si>
  <si>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</si>
  <si>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</si>
  <si>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</si>
  <si>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</si>
  <si>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</si>
  <si>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</si>
  <si>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</si>
  <si>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</si>
  <si>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</si>
  <si>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</si>
  <si>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</si>
  <si>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</si>
  <si>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</si>
  <si>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</si>
  <si>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</si>
  <si>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</si>
  <si>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</si>
  <si>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</si>
  <si>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</si>
  <si>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</si>
  <si>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</si>
  <si>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</si>
  <si>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</si>
  <si>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</si>
  <si>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</si>
  <si>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</si>
  <si>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</si>
  <si>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</si>
  <si>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</si>
  <si>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</si>
  <si>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</si>
  <si>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</si>
  <si>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</si>
  <si>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</si>
  <si>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</si>
  <si>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</si>
  <si>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</si>
  <si>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</si>
  <si>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</si>
  <si>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</si>
  <si>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</si>
  <si>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</si>
  <si>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</si>
  <si>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</si>
  <si>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</si>
  <si>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</si>
  <si>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</si>
  <si>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</si>
  <si>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</si>
  <si>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</si>
  <si>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</si>
  <si>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</si>
  <si>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</si>
  <si>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</si>
  <si>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</si>
  <si>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</si>
  <si>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</si>
  <si>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</si>
  <si>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</si>
  <si>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</si>
  <si>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</si>
  <si>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</si>
  <si>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</si>
  <si>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</si>
  <si>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</si>
  <si>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</si>
  <si>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</si>
  <si>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</si>
  <si>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</si>
  <si>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</si>
  <si>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</si>
  <si>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</si>
  <si>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</si>
  <si>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</si>
  <si>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</si>
  <si>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</si>
  <si>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</si>
  <si>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</si>
  <si>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</si>
  <si>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</si>
  <si>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</si>
  <si>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</si>
  <si>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</si>
  <si>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</si>
  <si>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</si>
  <si>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</si>
  <si>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</si>
  <si>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</si>
  <si>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</si>
  <si>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</si>
  <si>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</si>
  <si>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</si>
  <si>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</si>
  <si>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</si>
  <si>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</si>
  <si>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</si>
  <si>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</si>
  <si>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</si>
  <si>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</si>
  <si>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</si>
  <si>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</si>
  <si>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</si>
  <si>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</si>
  <si>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</si>
  <si>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</si>
  <si>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</si>
  <si>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</si>
  <si>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</si>
  <si>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</si>
  <si>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</si>
  <si>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</si>
  <si>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</si>
  <si>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</si>
  <si>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</si>
  <si>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</si>
  <si>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</si>
  <si>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</si>
  <si>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</si>
  <si>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</si>
  <si>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</si>
  <si>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</si>
  <si>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</si>
  <si>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</si>
  <si>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</si>
  <si>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</si>
  <si>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</si>
  <si>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</si>
  <si>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</si>
  <si>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</si>
  <si>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</si>
  <si>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</si>
  <si>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</si>
  <si>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</si>
  <si>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</si>
  <si>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</si>
  <si>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</si>
  <si>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</si>
  <si>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</si>
  <si>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</si>
  <si>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</si>
  <si>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</si>
  <si>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</si>
  <si>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</si>
  <si>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</si>
  <si>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</si>
  <si>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</si>
  <si>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</si>
  <si>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</si>
  <si>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</si>
  <si>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</si>
  <si>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</si>
  <si>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</si>
  <si>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</si>
  <si>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</si>
  <si>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</si>
  <si>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</si>
  <si>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</si>
  <si>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</si>
  <si>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</si>
  <si>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</si>
  <si>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</si>
  <si>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</si>
  <si>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</si>
  <si>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</si>
  <si>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</si>
  <si>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</si>
  <si>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</si>
  <si>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</si>
  <si>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</si>
  <si>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</si>
  <si>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</si>
  <si>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</si>
  <si>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</si>
  <si>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</si>
  <si>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</si>
  <si>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</si>
  <si>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</si>
  <si>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</si>
  <si>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</si>
  <si>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</si>
  <si>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</si>
  <si>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</si>
  <si>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</si>
  <si>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</si>
  <si>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</si>
  <si>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</si>
  <si>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</si>
  <si>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</si>
  <si>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</si>
  <si>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</si>
  <si>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</si>
  <si>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</si>
  <si>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</si>
  <si>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</si>
  <si>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</si>
  <si>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</si>
  <si>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</si>
  <si>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</si>
  <si>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</si>
  <si>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</si>
  <si>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</si>
  <si>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</si>
  <si>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</si>
  <si>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</si>
  <si>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</si>
  <si>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</si>
  <si>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</si>
  <si>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</si>
  <si>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</si>
  <si>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</si>
  <si>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</si>
  <si>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</si>
  <si>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</si>
  <si>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</si>
  <si>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</si>
  <si>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</si>
  <si>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</si>
  <si>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</si>
  <si>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</si>
  <si>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</si>
  <si>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</si>
  <si>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</si>
  <si>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</si>
  <si>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</si>
  <si>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</si>
  <si>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</si>
  <si>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</si>
  <si>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</si>
  <si>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</si>
  <si>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</si>
  <si>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</si>
  <si>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</si>
  <si>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</si>
  <si>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</si>
  <si>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</si>
  <si>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</si>
  <si>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</si>
  <si>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</si>
  <si>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</si>
  <si>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</si>
  <si>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</si>
  <si>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</si>
  <si>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</si>
  <si>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</si>
  <si>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</si>
  <si>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</si>
  <si>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</si>
  <si>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</si>
  <si>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</si>
  <si>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</si>
  <si>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</si>
  <si>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</si>
  <si>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</si>
  <si>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</si>
  <si>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</si>
  <si>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</si>
  <si>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</si>
  <si>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</si>
  <si>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</si>
  <si>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</si>
  <si>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</si>
  <si>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</si>
  <si>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</si>
  <si>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</si>
  <si>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</si>
  <si>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</si>
  <si>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</si>
  <si>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</si>
  <si>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</si>
  <si>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</si>
  <si>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</si>
  <si>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</si>
  <si>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</si>
  <si>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</si>
  <si>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</si>
  <si>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</si>
  <si>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</si>
  <si>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</si>
  <si>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</si>
  <si>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</si>
  <si>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</si>
  <si>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</si>
  <si>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</si>
  <si>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</si>
  <si>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</si>
  <si>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</si>
  <si>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</si>
  <si>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</si>
  <si>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</si>
  <si>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</si>
  <si>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</si>
  <si>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</si>
  <si>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</si>
  <si>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</si>
  <si>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</si>
  <si>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</si>
  <si>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</si>
  <si>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</si>
  <si>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</si>
  <si>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</si>
  <si>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</si>
  <si>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</si>
  <si>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</si>
  <si>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</si>
  <si>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</si>
  <si>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</si>
  <si>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</si>
  <si>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</si>
  <si>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</si>
  <si>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</si>
  <si>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</si>
  <si>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</si>
  <si>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</si>
  <si>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</si>
  <si>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</si>
  <si>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</si>
  <si>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</si>
  <si>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</si>
  <si>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</si>
  <si>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</si>
  <si>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</si>
  <si>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</si>
  <si>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</si>
  <si>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</si>
  <si>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</si>
  <si>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</si>
  <si>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</si>
  <si>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</si>
  <si>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</si>
  <si>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</si>
  <si>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</si>
  <si>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</si>
  <si>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</si>
  <si>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</si>
  <si>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</si>
  <si>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</si>
  <si>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</si>
  <si>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</si>
  <si>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</si>
  <si>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</si>
  <si>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</si>
  <si>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</si>
  <si>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</si>
  <si>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</si>
  <si>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</si>
  <si>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</si>
  <si>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</si>
  <si>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</si>
  <si>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</si>
  <si>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</si>
  <si>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</si>
  <si>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</si>
  <si>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</si>
  <si>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</si>
  <si>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</si>
  <si>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</si>
  <si>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</si>
  <si>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</si>
  <si>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</si>
  <si>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</si>
  <si>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</si>
  <si>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</si>
  <si>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</si>
  <si>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</si>
  <si>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</si>
  <si>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</si>
  <si>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</si>
  <si>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</si>
  <si>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</si>
  <si>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</si>
  <si>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</si>
  <si>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</si>
  <si>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</si>
  <si>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</si>
  <si>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</si>
  <si>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</si>
  <si>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</si>
  <si>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</si>
  <si>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</si>
  <si>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</si>
  <si>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</si>
  <si>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</si>
  <si>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</si>
  <si>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</si>
  <si>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</si>
  <si>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</si>
  <si>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</si>
  <si>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</si>
  <si>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</si>
  <si>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</si>
  <si>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</si>
  <si>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</si>
  <si>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</si>
  <si>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</si>
  <si>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</si>
  <si>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</si>
  <si>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</si>
  <si>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</si>
  <si>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</si>
  <si>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</si>
  <si>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</si>
  <si>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</si>
  <si>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</si>
  <si>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</si>
  <si>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</si>
  <si>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</si>
  <si>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</si>
  <si>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</si>
  <si>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</si>
  <si>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</si>
  <si>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</si>
  <si>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</si>
  <si>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</si>
  <si>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</si>
  <si>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</si>
  <si>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</si>
  <si>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</si>
  <si>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</si>
  <si>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</si>
  <si>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</si>
  <si>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</si>
  <si>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</si>
  <si>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</si>
  <si>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</si>
  <si>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</si>
  <si>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</si>
  <si>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</si>
  <si>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</si>
  <si>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</si>
  <si>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</si>
  <si>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</si>
  <si>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</si>
  <si>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</si>
  <si>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</si>
  <si>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</si>
  <si>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</si>
  <si>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</si>
  <si>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</si>
  <si>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</si>
  <si>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</si>
  <si>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</si>
  <si>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</si>
  <si>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</si>
  <si>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</si>
  <si>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</si>
  <si>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</si>
  <si>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</si>
  <si>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</si>
  <si>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</si>
  <si>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</si>
  <si>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</si>
  <si>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</si>
  <si>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</si>
  <si>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</si>
  <si>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</si>
  <si>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</si>
  <si>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</si>
  <si>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</si>
  <si>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</si>
  <si>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</si>
  <si>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</si>
  <si>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</si>
  <si>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</si>
  <si>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</si>
  <si>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</si>
  <si>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</si>
  <si>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</si>
  <si>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</si>
  <si>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</si>
  <si>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</si>
  <si>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</si>
  <si>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</si>
  <si>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</si>
  <si>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</si>
  <si>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</si>
  <si>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</si>
  <si>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</si>
  <si>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</si>
  <si>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</si>
  <si>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</si>
  <si>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</si>
  <si>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</si>
  <si>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</si>
  <si>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</si>
  <si>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</si>
  <si>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</si>
  <si>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</si>
  <si>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</si>
  <si>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</si>
  <si>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</si>
  <si>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</si>
  <si>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</si>
  <si>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</si>
  <si>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</si>
  <si>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</si>
  <si>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</si>
  <si>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</si>
  <si>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</si>
  <si>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</si>
  <si>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</si>
  <si>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</si>
  <si>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</si>
  <si>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</si>
  <si>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</si>
  <si>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</si>
  <si>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</si>
  <si>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</si>
  <si>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</si>
  <si>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</si>
  <si>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</si>
  <si>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</si>
  <si>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</si>
  <si>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</si>
  <si>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</si>
  <si>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</si>
  <si>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</si>
  <si>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</si>
  <si>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</si>
  <si>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</si>
  <si>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</si>
  <si>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</si>
  <si>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</si>
  <si>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</si>
  <si>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</si>
  <si>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</si>
  <si>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</si>
  <si>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</si>
  <si>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</si>
  <si>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</si>
  <si>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</si>
  <si>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</si>
  <si>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</si>
  <si>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</si>
  <si>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</si>
  <si>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</si>
  <si>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</si>
  <si>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</si>
  <si>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</si>
  <si>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</si>
  <si>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</si>
  <si>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</si>
  <si>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</si>
  <si>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</si>
  <si>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</si>
  <si>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</si>
  <si>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</si>
  <si>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</si>
  <si>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</si>
  <si>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</si>
  <si>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</si>
  <si>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</si>
  <si>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</si>
  <si>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</si>
  <si>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</si>
  <si>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</si>
  <si>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</si>
  <si>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</si>
  <si>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</si>
  <si>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</si>
  <si>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</si>
  <si>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</si>
  <si>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</si>
  <si>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</si>
  <si>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</si>
  <si>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</si>
  <si>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</si>
  <si>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</si>
  <si>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</si>
  <si>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</si>
  <si>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</si>
  <si>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</si>
  <si>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</si>
  <si>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</si>
  <si>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</si>
  <si>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</si>
  <si>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</si>
  <si>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</si>
  <si>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</si>
  <si>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</si>
  <si>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</si>
  <si>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</si>
  <si>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</si>
  <si>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</si>
  <si>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</si>
  <si>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</si>
  <si>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</si>
  <si>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</si>
  <si>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</si>
  <si>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</si>
  <si>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</si>
  <si>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</si>
  <si>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</si>
  <si>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</si>
  <si>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</si>
  <si>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</si>
  <si>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</si>
  <si>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</si>
  <si>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</si>
  <si>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</si>
  <si>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</si>
  <si>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</si>
  <si>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</si>
  <si>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</si>
  <si>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</si>
  <si>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</si>
  <si>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</si>
  <si>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</si>
  <si>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</si>
  <si>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</si>
  <si>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</si>
  <si>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</si>
  <si>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</si>
  <si>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</si>
  <si>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</si>
  <si>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Maya Dammand</t>
  </si>
  <si>
    <t>Volleyball Flowers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</si>
  <si>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</si>
  <si>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</si>
  <si>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</si>
  <si>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</si>
  <si>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</si>
  <si>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</si>
  <si>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</si>
  <si>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</si>
  <si>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</si>
  <si>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</si>
  <si>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</si>
  <si>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</si>
  <si>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</si>
  <si>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</si>
  <si>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</si>
  <si>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</si>
  <si>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</si>
  <si>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</si>
  <si>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</si>
  <si>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</si>
  <si>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</si>
  <si>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</si>
  <si>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</si>
  <si>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</si>
  <si>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</si>
  <si>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</si>
  <si>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</si>
  <si>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</si>
  <si>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</si>
  <si>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</si>
  <si>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</si>
  <si>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</si>
  <si>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</si>
  <si>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</si>
  <si>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</si>
  <si>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</si>
  <si>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</si>
  <si>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</si>
  <si>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</si>
  <si>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</si>
  <si>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</si>
  <si>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</si>
  <si>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</si>
  <si>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</si>
  <si>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</si>
  <si>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</si>
  <si>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</si>
  <si>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</si>
  <si>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</si>
  <si>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</si>
  <si>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</si>
  <si>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</si>
  <si>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</si>
  <si>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</si>
  <si>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</si>
  <si>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</si>
  <si>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</si>
  <si>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</si>
  <si>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</si>
  <si>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</si>
  <si>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</si>
  <si>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</si>
  <si>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</si>
  <si>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</si>
  <si>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</si>
  <si>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</si>
  <si>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</si>
  <si>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</si>
  <si>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</si>
  <si>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</si>
  <si>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</si>
  <si>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</si>
  <si>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</si>
  <si>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</si>
  <si>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</si>
  <si>
    <t>Monty McAlpine</t>
  </si>
  <si>
    <t>Raffle Expenses</t>
  </si>
  <si>
    <t>RAB Raffle</t>
  </si>
  <si>
    <t>RAB Gala Wine</t>
  </si>
  <si>
    <t>RAB Gala</t>
  </si>
  <si>
    <t>H&amp;L Sporting Goods</t>
  </si>
  <si>
    <t>Track Uniforms (2,080 RAB Grant, 1241.68 Boys Track, 1241.67 Girls Track)</t>
  </si>
  <si>
    <t>B&amp;G Track and RAB</t>
  </si>
  <si>
    <t>Partial RAB Grant</t>
  </si>
  <si>
    <t>Coaches Hats and Jackets</t>
  </si>
  <si>
    <t>Womens Lacrosse</t>
  </si>
  <si>
    <t>Gala Supplies and Services</t>
  </si>
  <si>
    <t>Gala Catering</t>
  </si>
  <si>
    <t>Raffle Winner</t>
  </si>
  <si>
    <t>Raffle</t>
  </si>
  <si>
    <t>Collette Maclean</t>
  </si>
  <si>
    <t>Mike James</t>
  </si>
  <si>
    <t>End of year party and Coaches Gift</t>
  </si>
  <si>
    <t>Men's Basketball</t>
  </si>
  <si>
    <t>Boosters Cash Flow - As of April 1, 2018</t>
  </si>
  <si>
    <t>March Bank Ending Balance</t>
  </si>
  <si>
    <t>uncashed chks</t>
  </si>
  <si>
    <t>Unified Sports</t>
  </si>
  <si>
    <t>2080 Grant for Uniforms for both Mens and Womens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</si>
</sst>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3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Fill="1"/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 xr:uid="{00000000-0005-0000-0000-000005000000}"/>
    <cellStyle name="Percent 2 2" xfId="6" xr:uid="{00000000-0005-0000-0000-000006000000}"/>
    <cellStyle name="Percent 3" xfId="7" xr:uid="{00000000-0005-0000-0000-000007000000}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M76"/>
  <sheetViews>
    <sheetView tabSelected="1" zoomScale="85" zoomScaleNormal="85" workbookViewId="0">
      <selection activeCell="P71" sqref="P71"/>
    </sheetView>
  </sheetViews>
  <sheetFormatPr baseColWidth="10" defaultColWidth="8.6640625" defaultRowHeight="13" x14ac:dyDescent="0.15"/>
  <cols>
    <col min="1" max="1" width="29" customWidth="1"/>
    <col min="2" max="2" width="9.33203125" style="18" customWidth="1"/>
    <col min="3" max="3" width="9" style="19" customWidth="1"/>
    <col min="4" max="5" width="9.33203125" style="18" customWidth="1"/>
    <col min="6" max="6" width="8.1640625" style="18" customWidth="1"/>
    <col min="7" max="7" width="9.5" style="18" customWidth="1"/>
    <col min="8" max="8" width="10" style="18" customWidth="1"/>
    <col min="9" max="9" width="9.6640625" style="18" customWidth="1"/>
    <col min="10" max="10" width="9.33203125" style="18" customWidth="1"/>
    <col min="11" max="11" width="9.1640625" style="18" customWidth="1"/>
    <col min="12" max="12" width="10.5" style="18" customWidth="1"/>
    <col min="13" max="13" width="15.33203125" style="18" customWidth="1"/>
    <col min="14" max="14" width="4.33203125" customWidth="1"/>
    <col min="15" max="15" width="21.6640625" customWidth="1"/>
    <col min="16" max="16" width="12" customWidth="1"/>
    <col min="17" max="17" width="12.1640625" hidden="1" customWidth="1"/>
    <col min="18" max="18" width="10.6640625" hidden="1" customWidth="1"/>
    <col min="19" max="27" width="0" hidden="1" customWidth="1"/>
    <col min="34" max="34" width="11" customWidth="1"/>
    <col min="36" max="37" width="12" hidden="1" customWidth="1"/>
    <col min="38" max="38" width="0" hidden="1" customWidth="1"/>
  </cols>
  <sheetData>
    <row r="1" spans="1:169" ht="24.75" customHeight="1" thickBot="1" x14ac:dyDescent="0.3">
      <c r="A1" s="241" t="s">
        <v>1066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spans="1:169" s="24" customFormat="1" x14ac:dyDescent="0.15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15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>
        <f>20+280</f>
        <v>300</v>
      </c>
      <c r="G3" s="27">
        <f>250+119.66</f>
        <v>369.65999999999997</v>
      </c>
      <c r="H3" s="27">
        <f>27.33+12.98+107.39+30.03</f>
        <v>177.73</v>
      </c>
      <c r="I3" s="27">
        <f>23.96+478.7+1400 -50</f>
        <v>1852.6599999999999</v>
      </c>
      <c r="J3" s="27"/>
      <c r="K3" s="27"/>
      <c r="L3" s="27"/>
      <c r="M3" s="28">
        <f>SUM(B3:L3)</f>
        <v>5846.58</v>
      </c>
      <c r="O3" s="4" t="s">
        <v>250</v>
      </c>
      <c r="R3" s="18">
        <f>M3</f>
        <v>5846.58</v>
      </c>
      <c r="Z3" s="18">
        <f>SUM(R3:Y3)</f>
        <v>5846.58</v>
      </c>
    </row>
    <row r="4" spans="1:169" x14ac:dyDescent="0.15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>
        <f>57.28+1650+30+500+2000+200</f>
        <v>4437.28</v>
      </c>
      <c r="G4" s="27">
        <f>479.9+191.75+700+239.17+30</f>
        <v>1640.8200000000002</v>
      </c>
      <c r="H4" s="27">
        <f>95.6+47.8+95.68+500+95.68+95.73+47.88+143.6+400+47.86+191.47+191.47</f>
        <v>1952.77</v>
      </c>
      <c r="I4" s="27">
        <f>20+200+479.12+71.87+95.82+30+10+47.87+23.93+239.35+335.09+478.7+47.87+95.74+143.61+1000+335.41+47.92+143.76+95.83+100+95.7+95.7</f>
        <v>4233.2899999999991</v>
      </c>
      <c r="J4" s="27"/>
      <c r="K4" s="27"/>
      <c r="L4" s="27"/>
      <c r="M4" s="28">
        <f t="shared" ref="M4:M12" si="0">SUM(B4:L4)</f>
        <v>36348.089999999997</v>
      </c>
      <c r="O4" s="4" t="s">
        <v>251</v>
      </c>
      <c r="R4" s="18">
        <f>M4-T4</f>
        <v>36348.089999999997</v>
      </c>
      <c r="T4" s="18">
        <v>0</v>
      </c>
      <c r="Z4" s="18">
        <f t="shared" ref="Z4:Z12" si="1">SUM(R4:Y4)</f>
        <v>36348.089999999997</v>
      </c>
    </row>
    <row r="5" spans="1:169" x14ac:dyDescent="0.15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1026</v>
      </c>
      <c r="T5" s="18">
        <f>M5</f>
        <v>0</v>
      </c>
      <c r="Z5" s="18">
        <f t="shared" si="1"/>
        <v>0</v>
      </c>
    </row>
    <row r="6" spans="1:169" x14ac:dyDescent="0.15">
      <c r="A6" s="189" t="s">
        <v>782</v>
      </c>
      <c r="B6" s="26"/>
      <c r="C6" s="27"/>
      <c r="D6" s="27"/>
      <c r="E6" s="27"/>
      <c r="F6" s="27"/>
      <c r="G6" s="27"/>
      <c r="H6" s="27"/>
      <c r="I6" s="27">
        <f>41800+850+1150.62</f>
        <v>43800.62</v>
      </c>
      <c r="J6" s="27"/>
      <c r="K6" s="27"/>
      <c r="L6" s="27"/>
      <c r="M6" s="28">
        <f t="shared" si="0"/>
        <v>43800.62</v>
      </c>
      <c r="O6" s="4" t="s">
        <v>1025</v>
      </c>
      <c r="V6" s="18">
        <f>M6</f>
        <v>43800.62</v>
      </c>
      <c r="Z6" s="18">
        <f t="shared" si="1"/>
        <v>43800.62</v>
      </c>
    </row>
    <row r="7" spans="1:169" x14ac:dyDescent="0.15">
      <c r="A7" s="189" t="s">
        <v>30</v>
      </c>
      <c r="B7" s="26"/>
      <c r="C7" s="27"/>
      <c r="D7" s="27"/>
      <c r="E7" s="27"/>
      <c r="F7" s="27"/>
      <c r="G7" s="27"/>
      <c r="H7" s="27"/>
      <c r="I7" s="27">
        <f>1250+1250+33149.69</f>
        <v>35649.69</v>
      </c>
      <c r="J7" s="27"/>
      <c r="K7" s="27"/>
      <c r="L7" s="27"/>
      <c r="M7" s="28">
        <f t="shared" si="0"/>
        <v>35649.69</v>
      </c>
      <c r="O7" s="4" t="s">
        <v>1022</v>
      </c>
      <c r="T7" s="18">
        <f>M7</f>
        <v>35649.69</v>
      </c>
      <c r="Z7" s="18">
        <f t="shared" si="1"/>
        <v>35649.69</v>
      </c>
    </row>
    <row r="8" spans="1:169" x14ac:dyDescent="0.15">
      <c r="A8" s="189" t="s">
        <v>29</v>
      </c>
      <c r="B8" s="26"/>
      <c r="C8" s="27"/>
      <c r="D8" s="27"/>
      <c r="E8" s="27"/>
      <c r="F8" s="27"/>
      <c r="G8" s="27">
        <f>382.7+191.45</f>
        <v>574.15</v>
      </c>
      <c r="H8" s="27">
        <f>334.74+717.6+1101.21+1148.85</f>
        <v>3302.4</v>
      </c>
      <c r="I8" s="27">
        <f>670.77+3733.86+150+50</f>
        <v>4604.63</v>
      </c>
      <c r="J8" s="27"/>
      <c r="K8" s="27"/>
      <c r="L8" s="27"/>
      <c r="M8" s="28">
        <f>SUM(B8:L8)</f>
        <v>8481.18</v>
      </c>
      <c r="O8" s="4" t="s">
        <v>1023</v>
      </c>
      <c r="Z8" s="18">
        <f t="shared" si="1"/>
        <v>0</v>
      </c>
    </row>
    <row r="9" spans="1:169" x14ac:dyDescent="0.15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1024</v>
      </c>
      <c r="Z9" s="18">
        <f t="shared" si="1"/>
        <v>0</v>
      </c>
    </row>
    <row r="10" spans="1:169" x14ac:dyDescent="0.15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15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15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4" thickBot="1" x14ac:dyDescent="0.2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4737.28</v>
      </c>
      <c r="G13" s="31">
        <f t="shared" si="2"/>
        <v>2584.63</v>
      </c>
      <c r="H13" s="31">
        <f t="shared" si="2"/>
        <v>5432.9</v>
      </c>
      <c r="I13" s="31">
        <f t="shared" si="2"/>
        <v>90140.890000000014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130126.16</v>
      </c>
      <c r="O13" s="190" t="s">
        <v>421</v>
      </c>
    </row>
    <row r="14" spans="1:169" x14ac:dyDescent="0.15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15">
      <c r="A15" s="189" t="s">
        <v>36</v>
      </c>
      <c r="B15" s="26">
        <v>1595</v>
      </c>
      <c r="C15" s="27">
        <v>190.25</v>
      </c>
      <c r="D15" s="27"/>
      <c r="E15" s="27"/>
      <c r="F15" s="27"/>
      <c r="G15" s="27">
        <v>0.1</v>
      </c>
      <c r="H15" s="27">
        <v>0.1</v>
      </c>
      <c r="I15" s="27"/>
      <c r="J15" s="27"/>
      <c r="K15" s="27"/>
      <c r="L15" s="27"/>
      <c r="M15" s="28">
        <f t="shared" ref="M15:M41" si="3">SUM(B15:L15)</f>
        <v>1785.4499999999998</v>
      </c>
      <c r="O15" s="4" t="s">
        <v>302</v>
      </c>
      <c r="Y15" s="18">
        <f>M15</f>
        <v>1785.4499999999998</v>
      </c>
    </row>
    <row r="16" spans="1:169" x14ac:dyDescent="0.15">
      <c r="A16" s="189" t="s">
        <v>249</v>
      </c>
      <c r="B16" s="26"/>
      <c r="C16" s="27"/>
      <c r="D16" s="27"/>
      <c r="E16" s="27"/>
      <c r="F16" s="27"/>
      <c r="G16" s="27">
        <v>49</v>
      </c>
      <c r="H16" s="27"/>
      <c r="I16" s="27"/>
      <c r="J16" s="27"/>
      <c r="K16" s="27"/>
      <c r="L16" s="27"/>
      <c r="M16" s="28">
        <f t="shared" si="3"/>
        <v>49</v>
      </c>
      <c r="O16" s="190" t="s">
        <v>303</v>
      </c>
      <c r="Y16" s="18">
        <f>M16</f>
        <v>49</v>
      </c>
    </row>
    <row r="17" spans="1:37" x14ac:dyDescent="0.15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15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15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>
        <v>2819.3</v>
      </c>
      <c r="I19" s="27">
        <f>844.42+791.44+607.91+1819.3+4000+500+900+49.9</f>
        <v>9512.9699999999993</v>
      </c>
      <c r="J19" s="27"/>
      <c r="K19" s="27"/>
      <c r="L19" s="27"/>
      <c r="M19" s="28">
        <f t="shared" si="3"/>
        <v>14127.27</v>
      </c>
      <c r="U19" s="18">
        <f>M19</f>
        <v>14127.27</v>
      </c>
    </row>
    <row r="20" spans="1:37" x14ac:dyDescent="0.15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37" x14ac:dyDescent="0.15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>
        <f>-402.72+42.88+286.27+102.17+550+1730+1730+1200+68+36+402.72+1000</f>
        <v>6745.3200000000006</v>
      </c>
      <c r="G21" s="27">
        <f>150+239.9+1999+115.8+379.59+68.5+800+870+1248.82+1223.75</f>
        <v>7095.3600000000006</v>
      </c>
      <c r="H21" s="27">
        <f>6.92+1000+695+2099.5</f>
        <v>3801.42</v>
      </c>
      <c r="I21" s="27">
        <f>4563.35+282.66+1773.27</f>
        <v>6619.2800000000007</v>
      </c>
      <c r="J21" s="27"/>
      <c r="K21" s="27"/>
      <c r="L21" s="27"/>
      <c r="M21" s="28">
        <f t="shared" si="3"/>
        <v>42107.58</v>
      </c>
      <c r="X21" s="18">
        <f t="shared" ref="X21:X28" si="4">M21</f>
        <v>42107.58</v>
      </c>
    </row>
    <row r="22" spans="1:37" x14ac:dyDescent="0.15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15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  <c r="AJ23" s="234">
        <v>143463.84</v>
      </c>
    </row>
    <row r="24" spans="1:37" x14ac:dyDescent="0.15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  <c r="AJ24" s="234">
        <v>42.88</v>
      </c>
      <c r="AK24">
        <v>57.28</v>
      </c>
    </row>
    <row r="25" spans="1:37" x14ac:dyDescent="0.15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15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15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15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  <c r="AJ28" s="234">
        <v>55</v>
      </c>
      <c r="AK28">
        <v>500</v>
      </c>
    </row>
    <row r="29" spans="1:37" x14ac:dyDescent="0.15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15">
      <c r="A30" s="189" t="s">
        <v>323</v>
      </c>
      <c r="B30" s="26">
        <v>10</v>
      </c>
      <c r="C30" s="27"/>
      <c r="D30" s="27"/>
      <c r="E30" s="27"/>
      <c r="F30" s="27">
        <v>55</v>
      </c>
      <c r="G30" s="27"/>
      <c r="H30" s="27"/>
      <c r="I30" s="27"/>
      <c r="J30" s="27"/>
      <c r="K30" s="27"/>
      <c r="L30" s="27"/>
      <c r="M30" s="28">
        <f t="shared" si="3"/>
        <v>65</v>
      </c>
      <c r="Y30" s="18">
        <f>M30</f>
        <v>65</v>
      </c>
      <c r="AJ30" s="234">
        <v>1730</v>
      </c>
      <c r="AK30">
        <v>200</v>
      </c>
    </row>
    <row r="31" spans="1:37" hidden="1" x14ac:dyDescent="0.15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15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15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15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15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15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15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15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15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15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15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15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15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15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15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4" hidden="1" thickBot="1" x14ac:dyDescent="0.2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4" thickBot="1" x14ac:dyDescent="0.2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6800.3200000000006</v>
      </c>
      <c r="G53" s="36">
        <f t="shared" si="7"/>
        <v>7144.4600000000009</v>
      </c>
      <c r="H53" s="36">
        <f t="shared" si="7"/>
        <v>6620.82</v>
      </c>
      <c r="I53" s="36">
        <f t="shared" si="7"/>
        <v>16132.25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58404.3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1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42194.67</v>
      </c>
      <c r="S54" s="40">
        <f t="shared" si="8"/>
        <v>0</v>
      </c>
      <c r="T54" s="40">
        <f t="shared" si="8"/>
        <v>35649.69</v>
      </c>
      <c r="U54" s="40">
        <f t="shared" si="8"/>
        <v>14127.27</v>
      </c>
      <c r="V54" s="40">
        <f t="shared" si="8"/>
        <v>43800.62</v>
      </c>
      <c r="W54" s="40">
        <f t="shared" si="8"/>
        <v>0</v>
      </c>
      <c r="X54" s="40">
        <f t="shared" si="8"/>
        <v>42377.58</v>
      </c>
      <c r="Y54" s="40">
        <f t="shared" si="8"/>
        <v>1899.4499999999998</v>
      </c>
      <c r="AJ54" s="235">
        <v>68</v>
      </c>
      <c r="AK54">
        <v>402.72</v>
      </c>
    </row>
    <row r="55" spans="1:37" x14ac:dyDescent="0.15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79450.31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15">
      <c r="A56" s="187" t="s">
        <v>555</v>
      </c>
      <c r="C56" s="18"/>
      <c r="M56" s="41">
        <v>135653.04999999999</v>
      </c>
      <c r="N56" s="18"/>
      <c r="O56" s="35" t="s">
        <v>0</v>
      </c>
      <c r="P56" s="185">
        <f>'Team Accounts'!AI29</f>
        <v>114687.08799999997</v>
      </c>
      <c r="Q56" s="38" t="s">
        <v>330</v>
      </c>
      <c r="R56" s="40" t="e">
        <f>T54+U55</f>
        <v>#REF!</v>
      </c>
      <c r="T56" s="4" t="s">
        <v>332</v>
      </c>
      <c r="U56" s="40">
        <f>U54</f>
        <v>14127.27</v>
      </c>
      <c r="AJ56" s="234">
        <v>402.72</v>
      </c>
    </row>
    <row r="57" spans="1:37" x14ac:dyDescent="0.15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15">
      <c r="A58" s="4" t="s">
        <v>11</v>
      </c>
      <c r="C58" s="18"/>
      <c r="M58" s="186">
        <f>I13</f>
        <v>90140.890000000014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15">
      <c r="A59" s="4" t="s">
        <v>45</v>
      </c>
      <c r="C59" s="18"/>
      <c r="M59" s="186">
        <f>I53</f>
        <v>16132.25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15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209661.69</v>
      </c>
      <c r="N60" s="18"/>
      <c r="O60" s="35"/>
      <c r="P60" s="35"/>
      <c r="Q60" s="18"/>
      <c r="R60" s="18"/>
      <c r="AJ60" s="234"/>
    </row>
    <row r="61" spans="1:37" ht="14" thickBot="1" x14ac:dyDescent="0.2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4" thickTop="1" x14ac:dyDescent="0.15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209661.69</v>
      </c>
      <c r="N62" s="18"/>
      <c r="O62" s="18"/>
      <c r="P62" s="40"/>
      <c r="Q62" s="18"/>
      <c r="R62" s="18"/>
    </row>
    <row r="63" spans="1:37" x14ac:dyDescent="0.15">
      <c r="A63" s="4" t="s">
        <v>60</v>
      </c>
      <c r="C63" s="18"/>
      <c r="M63" s="56">
        <f>-P64</f>
        <v>-129187.08799999997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15">
      <c r="A64" s="4"/>
      <c r="C64" s="18"/>
      <c r="M64" s="41"/>
      <c r="N64" s="18"/>
      <c r="O64" s="42" t="s">
        <v>10</v>
      </c>
      <c r="P64" s="35">
        <f>SUM(P55:P62)</f>
        <v>129187.08799999997</v>
      </c>
      <c r="Q64" s="18"/>
      <c r="R64" s="18"/>
      <c r="AE64" s="59"/>
      <c r="AK64">
        <v>402.72</v>
      </c>
    </row>
    <row r="65" spans="1:37" x14ac:dyDescent="0.15">
      <c r="A65" s="4" t="s">
        <v>61</v>
      </c>
      <c r="C65" s="18"/>
      <c r="M65" s="41">
        <f>M62+M63</f>
        <v>80474.602000000028</v>
      </c>
      <c r="O65" s="42"/>
      <c r="P65" s="35"/>
      <c r="AK65">
        <v>36</v>
      </c>
    </row>
    <row r="66" spans="1:37" x14ac:dyDescent="0.15">
      <c r="AK66">
        <v>1200</v>
      </c>
    </row>
    <row r="67" spans="1:37" x14ac:dyDescent="0.15">
      <c r="AK67">
        <v>42.88</v>
      </c>
    </row>
    <row r="68" spans="1:37" x14ac:dyDescent="0.15">
      <c r="O68" s="4" t="s">
        <v>655</v>
      </c>
      <c r="P68" s="184">
        <f>+M65/P64</f>
        <v>0.62293069103005128</v>
      </c>
      <c r="AK68">
        <v>100.28</v>
      </c>
    </row>
    <row r="69" spans="1:37" x14ac:dyDescent="0.15">
      <c r="AK69">
        <v>30</v>
      </c>
    </row>
    <row r="70" spans="1:37" x14ac:dyDescent="0.15">
      <c r="AK70">
        <v>30</v>
      </c>
    </row>
    <row r="71" spans="1:37" x14ac:dyDescent="0.15">
      <c r="O71" s="202" t="s">
        <v>939</v>
      </c>
      <c r="P71" s="156"/>
    </row>
    <row r="72" spans="1:37" x14ac:dyDescent="0.15">
      <c r="O72" s="203" t="s">
        <v>823</v>
      </c>
      <c r="P72" s="204">
        <f>+M6+M7+M8</f>
        <v>87931.489999999991</v>
      </c>
    </row>
    <row r="73" spans="1:37" x14ac:dyDescent="0.15">
      <c r="O73" s="203" t="s">
        <v>37</v>
      </c>
      <c r="P73" s="204">
        <f>+M19+M28+M29</f>
        <v>14127.27</v>
      </c>
    </row>
    <row r="74" spans="1:37" x14ac:dyDescent="0.15">
      <c r="O74" s="203"/>
      <c r="P74" s="204"/>
    </row>
    <row r="75" spans="1:37" x14ac:dyDescent="0.15">
      <c r="O75" s="203" t="s">
        <v>11</v>
      </c>
      <c r="P75" s="204">
        <f>+P72-P73</f>
        <v>73804.219999999987</v>
      </c>
    </row>
    <row r="76" spans="1:37" x14ac:dyDescent="0.15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 xr:uid="{00000000-0004-0000-0000-000000000000}"/>
    <hyperlink ref="O16" r:id="rId2" xr:uid="{00000000-0004-0000-0000-000001000000}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33"/>
  <sheetViews>
    <sheetView zoomScale="80" zoomScaleNormal="80" workbookViewId="0">
      <pane xSplit="1" topLeftCell="B1" activePane="topRight" state="frozen"/>
      <selection pane="topRight" activeCell="Y30" sqref="Y30"/>
    </sheetView>
  </sheetViews>
  <sheetFormatPr baseColWidth="10" defaultColWidth="9.1640625" defaultRowHeight="16" outlineLevelCol="1" x14ac:dyDescent="0.2"/>
  <cols>
    <col min="1" max="1" width="22.6640625" style="5" customWidth="1"/>
    <col min="2" max="2" width="15.33203125" style="5" customWidth="1"/>
    <col min="3" max="3" width="13.33203125" style="5" customWidth="1"/>
    <col min="4" max="4" width="13.1640625" style="3" customWidth="1"/>
    <col min="5" max="5" width="14" style="5" customWidth="1"/>
    <col min="6" max="6" width="13.5" style="5" customWidth="1"/>
    <col min="7" max="7" width="15" style="3" customWidth="1"/>
    <col min="8" max="9" width="14.33203125" style="5" customWidth="1"/>
    <col min="10" max="10" width="12.6640625" style="3" customWidth="1"/>
    <col min="11" max="11" width="14.1640625" style="5" customWidth="1" outlineLevel="1"/>
    <col min="12" max="12" width="12.5" style="5" customWidth="1" outlineLevel="1"/>
    <col min="13" max="13" width="13.1640625" style="3" customWidth="1" outlineLevel="1"/>
    <col min="14" max="14" width="15.1640625" style="5" customWidth="1" outlineLevel="1"/>
    <col min="15" max="15" width="11.33203125" style="5" customWidth="1" outlineLevel="1"/>
    <col min="16" max="16" width="14.6640625" style="3" customWidth="1" outlineLevel="1"/>
    <col min="17" max="17" width="15.1640625" style="5" customWidth="1" outlineLevel="1"/>
    <col min="18" max="18" width="12.83203125" style="5" customWidth="1" outlineLevel="1"/>
    <col min="19" max="19" width="15" style="3" customWidth="1" outlineLevel="1"/>
    <col min="20" max="20" width="14.1640625" style="5" customWidth="1" outlineLevel="1"/>
    <col min="21" max="21" width="14.1640625" style="12" customWidth="1" outlineLevel="1"/>
    <col min="22" max="22" width="12.33203125" style="12" customWidth="1" outlineLevel="1"/>
    <col min="23" max="23" width="14" style="12" customWidth="1" outlineLevel="1"/>
    <col min="24" max="24" width="13.1640625" style="12" customWidth="1" outlineLevel="1"/>
    <col min="25" max="25" width="13.33203125" style="12" customWidth="1" outlineLevel="1"/>
    <col min="26" max="26" width="16.83203125" style="12" customWidth="1" outlineLevel="1"/>
    <col min="27" max="27" width="12.6640625" style="12" customWidth="1" outlineLevel="1"/>
    <col min="28" max="28" width="13.33203125" style="12" customWidth="1" outlineLevel="1"/>
    <col min="29" max="29" width="16.1640625" style="12" customWidth="1" outlineLevel="1"/>
    <col min="30" max="30" width="13.33203125" style="12" customWidth="1" outlineLevel="1"/>
    <col min="31" max="31" width="14" style="12" customWidth="1" outlineLevel="1"/>
    <col min="32" max="32" width="16.83203125" style="12" customWidth="1" outlineLevel="1"/>
    <col min="33" max="33" width="13.6640625" style="12" customWidth="1" outlineLevel="1"/>
    <col min="34" max="34" width="14.33203125" style="12" customWidth="1" outlineLevel="1"/>
    <col min="35" max="35" width="16.1640625" style="12" customWidth="1"/>
    <col min="36" max="36" width="8" style="12" customWidth="1"/>
    <col min="37" max="38" width="14.33203125" style="5" customWidth="1"/>
    <col min="39" max="16384" width="9.1640625" style="5"/>
  </cols>
  <sheetData>
    <row r="1" spans="1:48" x14ac:dyDescent="0.2">
      <c r="A1" s="243" t="s">
        <v>954</v>
      </c>
      <c r="B1" s="244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</row>
    <row r="2" spans="1:48" ht="17" thickBot="1" x14ac:dyDescent="0.25">
      <c r="A2" s="246"/>
      <c r="B2" s="247"/>
      <c r="C2" s="245" t="s">
        <v>49</v>
      </c>
      <c r="D2" s="245"/>
      <c r="F2" s="245" t="s">
        <v>50</v>
      </c>
      <c r="G2" s="245"/>
      <c r="I2" s="245" t="s">
        <v>51</v>
      </c>
      <c r="J2" s="245"/>
      <c r="L2" s="245" t="s">
        <v>52</v>
      </c>
      <c r="M2" s="245"/>
      <c r="O2" s="245" t="s">
        <v>53</v>
      </c>
      <c r="P2" s="245"/>
      <c r="R2" s="245" t="s">
        <v>54</v>
      </c>
      <c r="S2" s="245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7" thickBot="1" x14ac:dyDescent="0.2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x14ac:dyDescent="0.2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X4" s="240"/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2">
      <c r="A5" s="10" t="s">
        <v>3</v>
      </c>
      <c r="B5" s="123">
        <v>922.35</v>
      </c>
      <c r="C5" s="134"/>
      <c r="D5" s="122"/>
      <c r="E5" s="123">
        <f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>+N5+O5-P5</f>
        <v>971.2</v>
      </c>
      <c r="R5" s="122"/>
      <c r="S5" s="122"/>
      <c r="T5" s="123">
        <f>+Q5+R5-S5</f>
        <v>971.2</v>
      </c>
      <c r="U5" s="122"/>
      <c r="V5" s="122"/>
      <c r="W5" s="123">
        <f>+T5+U5-V5</f>
        <v>971.2</v>
      </c>
      <c r="X5" s="124">
        <f>1553.34+2700.52</f>
        <v>4253.8599999999997</v>
      </c>
      <c r="Y5" s="122"/>
      <c r="Z5" s="123">
        <f>+W5+X5-Y5</f>
        <v>5225.0599999999995</v>
      </c>
      <c r="AA5" s="122"/>
      <c r="AB5" s="122"/>
      <c r="AC5" s="123">
        <f>+Z5+AA5-AB5</f>
        <v>5225.0599999999995</v>
      </c>
      <c r="AD5" s="122"/>
      <c r="AE5" s="196"/>
      <c r="AF5" s="123">
        <f>+AC5+AD5-AE5</f>
        <v>5225.0599999999995</v>
      </c>
      <c r="AG5" s="122"/>
      <c r="AH5" s="122"/>
      <c r="AI5" s="123">
        <f>+AF5+AG5-AH5</f>
        <v>5225.0599999999995</v>
      </c>
      <c r="AJ5" s="134"/>
      <c r="AK5" s="130">
        <f>SUM(AG5,AD5,AA5,X5,U5,R5,O5,L5,I5,F5,C5)</f>
        <v>4302.71</v>
      </c>
      <c r="AL5" s="131">
        <f>SUM(AH5,AE5,AB5,Y5,V5,S5,P5,M5,J5,G5,D5)</f>
        <v>0</v>
      </c>
    </row>
    <row r="6" spans="1:48" x14ac:dyDescent="0.2">
      <c r="A6" s="10" t="s">
        <v>828</v>
      </c>
      <c r="B6" s="123">
        <v>657.79</v>
      </c>
      <c r="C6" s="134">
        <v>940</v>
      </c>
      <c r="D6" s="122"/>
      <c r="E6" s="123">
        <f>+B6+C6-D6</f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>
        <f>1650+500+2000+200</f>
        <v>4350</v>
      </c>
      <c r="P6" s="122">
        <f>1200+1000</f>
        <v>2200</v>
      </c>
      <c r="Q6" s="123">
        <f t="shared" ref="Q6:Q27" si="0">+N6+O6-P6</f>
        <v>4591.1100000000006</v>
      </c>
      <c r="R6" s="122">
        <v>95.67</v>
      </c>
      <c r="S6" s="122">
        <f>150+239.9</f>
        <v>389.9</v>
      </c>
      <c r="T6" s="123">
        <f>+Q6+R6-S6</f>
        <v>4296.880000000001</v>
      </c>
      <c r="U6" s="122">
        <v>500</v>
      </c>
      <c r="V6" s="122">
        <v>1000</v>
      </c>
      <c r="W6" s="123">
        <f>+T6+U6-V6</f>
        <v>3796.880000000001</v>
      </c>
      <c r="X6" s="124">
        <f>1250+2421.1+1200.23</f>
        <v>4871.33</v>
      </c>
      <c r="Y6" s="122">
        <v>1773.27</v>
      </c>
      <c r="Z6" s="123">
        <f>+W6+X6-Y6</f>
        <v>6894.9400000000005</v>
      </c>
      <c r="AA6" s="122"/>
      <c r="AB6" s="122"/>
      <c r="AC6" s="123">
        <f>+Z6+AA6-AB6</f>
        <v>6894.9400000000005</v>
      </c>
      <c r="AD6" s="122"/>
      <c r="AE6" s="122"/>
      <c r="AF6" s="123">
        <f>+AC6+AD6-AE6</f>
        <v>6894.9400000000005</v>
      </c>
      <c r="AG6" s="122"/>
      <c r="AH6" s="122"/>
      <c r="AI6" s="123">
        <f>+AF6+AG6-AH6</f>
        <v>6894.9400000000005</v>
      </c>
      <c r="AJ6" s="134"/>
      <c r="AK6" s="130">
        <f t="shared" ref="AK6:AK27" si="1">SUM(AG6,AD6,AA6,X6,U6,R6,O6,L6,I6,F6,C6)</f>
        <v>16187.64</v>
      </c>
      <c r="AL6" s="131">
        <f>SUM(AH6,AE6,AB6,Y6,V6,S6,P6,M6,J6,G6,D6)</f>
        <v>9950.49</v>
      </c>
    </row>
    <row r="7" spans="1:48" x14ac:dyDescent="0.2">
      <c r="A7" s="1" t="s">
        <v>829</v>
      </c>
      <c r="B7" s="123">
        <v>3002.73</v>
      </c>
      <c r="C7" s="134"/>
      <c r="D7" s="122"/>
      <c r="E7" s="123">
        <f t="shared" ref="E7:E12" si="2">+B7+C7-D7</f>
        <v>3002.73</v>
      </c>
      <c r="F7" s="134">
        <f>287.78+47.67+23.77+47.7</f>
        <v>406.91999999999996</v>
      </c>
      <c r="G7" s="122"/>
      <c r="H7" s="123">
        <f t="shared" ref="H7:H12" si="3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4">+H7+I7-J7</f>
        <v>7011.14</v>
      </c>
      <c r="L7" s="134">
        <v>47.67</v>
      </c>
      <c r="M7" s="122">
        <f>1166+260</f>
        <v>1426</v>
      </c>
      <c r="N7" s="123">
        <f t="shared" ref="N7:N12" si="5">+K7+L7-M7</f>
        <v>5632.81</v>
      </c>
      <c r="O7" s="134"/>
      <c r="P7" s="122"/>
      <c r="Q7" s="123">
        <f t="shared" si="0"/>
        <v>5632.81</v>
      </c>
      <c r="R7" s="122"/>
      <c r="S7" s="122"/>
      <c r="T7" s="123">
        <f t="shared" ref="T7:T12" si="6">+Q7+R7-S7</f>
        <v>5632.81</v>
      </c>
      <c r="U7" s="122">
        <v>47.86</v>
      </c>
      <c r="V7" s="122"/>
      <c r="W7" s="123">
        <f t="shared" ref="W7:W12" si="7">+T7+U7-V7</f>
        <v>5680.67</v>
      </c>
      <c r="X7" s="124">
        <f>623.2</f>
        <v>623.20000000000005</v>
      </c>
      <c r="Y7" s="122"/>
      <c r="Z7" s="123">
        <f t="shared" ref="Z7:Z12" si="8">+W7+X7-Y7</f>
        <v>6303.87</v>
      </c>
      <c r="AA7" s="122"/>
      <c r="AB7" s="122"/>
      <c r="AC7" s="123">
        <f t="shared" ref="AC7:AC12" si="9">+Z7+AA7-AB7</f>
        <v>6303.87</v>
      </c>
      <c r="AD7" s="122"/>
      <c r="AE7" s="122"/>
      <c r="AF7" s="123">
        <f t="shared" ref="AF7:AF12" si="10">+AC7+AD7-AE7</f>
        <v>6303.87</v>
      </c>
      <c r="AG7" s="122"/>
      <c r="AH7" s="122"/>
      <c r="AI7" s="123">
        <f t="shared" ref="AI7:AI12" si="11">+AF7+AG7-AH7</f>
        <v>6303.87</v>
      </c>
      <c r="AJ7" s="134"/>
      <c r="AK7" s="130">
        <f t="shared" si="1"/>
        <v>5024.9800000000005</v>
      </c>
      <c r="AL7" s="131">
        <f t="shared" ref="AL7:AL27" si="12">SUM(AH7,AE7,AB7,Y7,V7,S7,P7,M7,J7,G7,D7)</f>
        <v>1723.84</v>
      </c>
    </row>
    <row r="8" spans="1:48" x14ac:dyDescent="0.2">
      <c r="A8" s="1" t="s">
        <v>830</v>
      </c>
      <c r="B8" s="123">
        <v>2639.07</v>
      </c>
      <c r="C8" s="134"/>
      <c r="D8" s="122"/>
      <c r="E8" s="123">
        <f t="shared" si="2"/>
        <v>2639.07</v>
      </c>
      <c r="F8" s="134"/>
      <c r="G8" s="122"/>
      <c r="H8" s="123">
        <f t="shared" si="3"/>
        <v>2639.07</v>
      </c>
      <c r="I8" s="135"/>
      <c r="J8" s="122"/>
      <c r="K8" s="123">
        <f t="shared" si="4"/>
        <v>2639.07</v>
      </c>
      <c r="L8" s="134"/>
      <c r="M8" s="122"/>
      <c r="N8" s="123">
        <f t="shared" si="5"/>
        <v>2639.07</v>
      </c>
      <c r="O8" s="134"/>
      <c r="P8" s="122"/>
      <c r="Q8" s="123">
        <f t="shared" si="0"/>
        <v>2639.07</v>
      </c>
      <c r="R8" s="122"/>
      <c r="S8" s="122"/>
      <c r="T8" s="123">
        <f t="shared" si="6"/>
        <v>2639.07</v>
      </c>
      <c r="U8" s="122"/>
      <c r="V8" s="122"/>
      <c r="W8" s="123">
        <f t="shared" si="7"/>
        <v>2639.07</v>
      </c>
      <c r="X8" s="124">
        <f>3835.4+1592.61+100</f>
        <v>5528.01</v>
      </c>
      <c r="Y8" s="122"/>
      <c r="Z8" s="123">
        <f t="shared" si="8"/>
        <v>8167.08</v>
      </c>
      <c r="AA8" s="122"/>
      <c r="AB8" s="122"/>
      <c r="AC8" s="123">
        <f t="shared" si="9"/>
        <v>8167.08</v>
      </c>
      <c r="AD8" s="122"/>
      <c r="AE8" s="197"/>
      <c r="AF8" s="123">
        <f t="shared" si="10"/>
        <v>8167.08</v>
      </c>
      <c r="AG8" s="122"/>
      <c r="AH8" s="122"/>
      <c r="AI8" s="123">
        <f t="shared" si="11"/>
        <v>8167.08</v>
      </c>
      <c r="AJ8" s="134"/>
      <c r="AK8" s="130">
        <f t="shared" si="1"/>
        <v>5528.01</v>
      </c>
      <c r="AL8" s="131">
        <f t="shared" si="12"/>
        <v>0</v>
      </c>
    </row>
    <row r="9" spans="1:48" x14ac:dyDescent="0.2">
      <c r="A9" s="1" t="s">
        <v>831</v>
      </c>
      <c r="B9" s="123">
        <v>6350.63</v>
      </c>
      <c r="C9" s="134"/>
      <c r="D9" s="122"/>
      <c r="E9" s="123">
        <f t="shared" si="2"/>
        <v>6350.63</v>
      </c>
      <c r="F9" s="134">
        <v>95.4</v>
      </c>
      <c r="G9" s="122"/>
      <c r="H9" s="123">
        <f t="shared" si="3"/>
        <v>6446.03</v>
      </c>
      <c r="I9" s="135">
        <v>47.74</v>
      </c>
      <c r="J9" s="122"/>
      <c r="K9" s="123">
        <f t="shared" si="4"/>
        <v>6493.7699999999995</v>
      </c>
      <c r="L9" s="134"/>
      <c r="M9" s="122"/>
      <c r="N9" s="123">
        <f t="shared" si="5"/>
        <v>6493.7699999999995</v>
      </c>
      <c r="O9" s="134"/>
      <c r="P9" s="122"/>
      <c r="Q9" s="123">
        <f t="shared" si="0"/>
        <v>6493.7699999999995</v>
      </c>
      <c r="R9" s="122"/>
      <c r="S9" s="122"/>
      <c r="T9" s="123">
        <f t="shared" si="6"/>
        <v>6493.7699999999995</v>
      </c>
      <c r="U9" s="122"/>
      <c r="V9" s="122"/>
      <c r="W9" s="123">
        <f t="shared" si="7"/>
        <v>6493.7699999999995</v>
      </c>
      <c r="X9" s="124">
        <f>478.7+143.76+230.81</f>
        <v>853.27</v>
      </c>
      <c r="Y9" s="122"/>
      <c r="Z9" s="123">
        <f t="shared" si="8"/>
        <v>7347.0399999999991</v>
      </c>
      <c r="AA9" s="122"/>
      <c r="AB9" s="122"/>
      <c r="AC9" s="123">
        <f t="shared" si="9"/>
        <v>7347.0399999999991</v>
      </c>
      <c r="AD9" s="122"/>
      <c r="AE9" s="122"/>
      <c r="AF9" s="123">
        <f t="shared" si="10"/>
        <v>7347.0399999999991</v>
      </c>
      <c r="AG9" s="122"/>
      <c r="AH9" s="122"/>
      <c r="AI9" s="123">
        <f t="shared" si="11"/>
        <v>7347.0399999999991</v>
      </c>
      <c r="AJ9" s="134"/>
      <c r="AK9" s="130">
        <f t="shared" si="1"/>
        <v>996.41</v>
      </c>
      <c r="AL9" s="131">
        <f t="shared" si="12"/>
        <v>0</v>
      </c>
    </row>
    <row r="10" spans="1:48" x14ac:dyDescent="0.2">
      <c r="A10" s="1" t="s">
        <v>832</v>
      </c>
      <c r="B10" s="123">
        <v>2035.7</v>
      </c>
      <c r="C10" s="134"/>
      <c r="D10" s="122"/>
      <c r="E10" s="123">
        <f t="shared" si="2"/>
        <v>2035.7</v>
      </c>
      <c r="F10" s="134">
        <v>47.7</v>
      </c>
      <c r="G10" s="122"/>
      <c r="H10" s="123">
        <f t="shared" si="3"/>
        <v>2083.4</v>
      </c>
      <c r="I10" s="135">
        <f>47.41+28.71</f>
        <v>76.12</v>
      </c>
      <c r="J10" s="122"/>
      <c r="K10" s="123">
        <f t="shared" si="4"/>
        <v>2159.52</v>
      </c>
      <c r="L10" s="134"/>
      <c r="M10" s="122"/>
      <c r="N10" s="123">
        <f t="shared" si="5"/>
        <v>2159.52</v>
      </c>
      <c r="O10" s="134"/>
      <c r="P10" s="122"/>
      <c r="Q10" s="123">
        <f t="shared" si="0"/>
        <v>2159.52</v>
      </c>
      <c r="R10" s="122">
        <v>143.5</v>
      </c>
      <c r="S10" s="122">
        <v>1999</v>
      </c>
      <c r="T10" s="123">
        <f t="shared" si="6"/>
        <v>304.02</v>
      </c>
      <c r="U10" s="122">
        <f>47.8+95.68</f>
        <v>143.48000000000002</v>
      </c>
      <c r="V10" s="122"/>
      <c r="W10" s="123">
        <f t="shared" si="7"/>
        <v>447.5</v>
      </c>
      <c r="X10" s="124">
        <f>95.83+692.44+500</f>
        <v>1288.27</v>
      </c>
      <c r="Y10" s="122"/>
      <c r="Z10" s="123">
        <f t="shared" si="8"/>
        <v>1735.77</v>
      </c>
      <c r="AA10" s="122"/>
      <c r="AB10" s="122"/>
      <c r="AC10" s="123">
        <f t="shared" si="9"/>
        <v>1735.77</v>
      </c>
      <c r="AD10" s="122"/>
      <c r="AE10" s="122"/>
      <c r="AF10" s="123">
        <f t="shared" si="10"/>
        <v>1735.77</v>
      </c>
      <c r="AG10" s="122"/>
      <c r="AH10" s="122"/>
      <c r="AI10" s="123">
        <f t="shared" si="11"/>
        <v>1735.77</v>
      </c>
      <c r="AJ10" s="134"/>
      <c r="AK10" s="130">
        <f t="shared" si="1"/>
        <v>1699.07</v>
      </c>
      <c r="AL10" s="131">
        <f t="shared" si="12"/>
        <v>1999</v>
      </c>
    </row>
    <row r="11" spans="1:48" x14ac:dyDescent="0.2">
      <c r="A11" s="1" t="s">
        <v>833</v>
      </c>
      <c r="B11" s="123">
        <v>2320.36</v>
      </c>
      <c r="C11" s="134"/>
      <c r="D11" s="122"/>
      <c r="E11" s="123">
        <f t="shared" si="2"/>
        <v>2320.36</v>
      </c>
      <c r="F11" s="134"/>
      <c r="G11" s="122"/>
      <c r="H11" s="123">
        <f t="shared" si="3"/>
        <v>2320.36</v>
      </c>
      <c r="I11" s="135"/>
      <c r="J11" s="122"/>
      <c r="K11" s="123">
        <f t="shared" si="4"/>
        <v>2320.36</v>
      </c>
      <c r="L11" s="134"/>
      <c r="M11" s="122"/>
      <c r="N11" s="123">
        <f t="shared" si="5"/>
        <v>2320.36</v>
      </c>
      <c r="O11" s="134"/>
      <c r="P11" s="122"/>
      <c r="Q11" s="123">
        <f t="shared" si="0"/>
        <v>2320.36</v>
      </c>
      <c r="R11" s="122"/>
      <c r="S11" s="122"/>
      <c r="T11" s="123">
        <f t="shared" si="6"/>
        <v>2320.36</v>
      </c>
      <c r="U11" s="122">
        <f>95.68+95.73</f>
        <v>191.41000000000003</v>
      </c>
      <c r="V11" s="122"/>
      <c r="W11" s="123">
        <f t="shared" si="7"/>
        <v>2511.77</v>
      </c>
      <c r="X11" s="124">
        <f>95.74+47.92+95.7+738.6</f>
        <v>977.96</v>
      </c>
      <c r="Y11" s="122">
        <v>1241.68</v>
      </c>
      <c r="Z11" s="123">
        <f t="shared" si="8"/>
        <v>2248.0500000000002</v>
      </c>
      <c r="AA11" s="122"/>
      <c r="AB11" s="122"/>
      <c r="AC11" s="123">
        <f t="shared" si="9"/>
        <v>2248.0500000000002</v>
      </c>
      <c r="AD11" s="122"/>
      <c r="AE11" s="122"/>
      <c r="AF11" s="123">
        <f t="shared" si="10"/>
        <v>2248.0500000000002</v>
      </c>
      <c r="AG11" s="122"/>
      <c r="AH11" s="122"/>
      <c r="AI11" s="123">
        <f t="shared" si="11"/>
        <v>2248.0500000000002</v>
      </c>
      <c r="AJ11" s="134"/>
      <c r="AK11" s="130">
        <f t="shared" si="1"/>
        <v>1169.3700000000001</v>
      </c>
      <c r="AL11" s="131">
        <f t="shared" si="12"/>
        <v>1241.68</v>
      </c>
    </row>
    <row r="12" spans="1:48" x14ac:dyDescent="0.2">
      <c r="A12" s="1" t="s">
        <v>834</v>
      </c>
      <c r="B12" s="123">
        <v>3212.88</v>
      </c>
      <c r="C12" s="134"/>
      <c r="D12" s="122"/>
      <c r="E12" s="123">
        <f t="shared" si="2"/>
        <v>3212.88</v>
      </c>
      <c r="F12" s="134"/>
      <c r="G12" s="122"/>
      <c r="H12" s="123">
        <f t="shared" si="3"/>
        <v>3212.88</v>
      </c>
      <c r="I12" s="135"/>
      <c r="J12" s="196"/>
      <c r="K12" s="123">
        <f t="shared" si="4"/>
        <v>3212.88</v>
      </c>
      <c r="L12" s="134"/>
      <c r="M12" s="122"/>
      <c r="N12" s="123">
        <f t="shared" si="5"/>
        <v>3212.88</v>
      </c>
      <c r="O12" s="134"/>
      <c r="P12" s="122"/>
      <c r="Q12" s="123">
        <f t="shared" si="0"/>
        <v>3212.88</v>
      </c>
      <c r="R12" s="122">
        <v>191.75</v>
      </c>
      <c r="S12" s="197"/>
      <c r="T12" s="123">
        <f t="shared" si="6"/>
        <v>3404.63</v>
      </c>
      <c r="U12" s="122"/>
      <c r="V12" s="197"/>
      <c r="W12" s="123">
        <f t="shared" si="7"/>
        <v>3404.63</v>
      </c>
      <c r="X12" s="124">
        <f>992.5</f>
        <v>992.5</v>
      </c>
      <c r="Y12" s="197"/>
      <c r="Z12" s="123">
        <f t="shared" si="8"/>
        <v>4397.13</v>
      </c>
      <c r="AA12" s="122"/>
      <c r="AB12" s="197"/>
      <c r="AC12" s="123">
        <f t="shared" si="9"/>
        <v>4397.13</v>
      </c>
      <c r="AD12" s="122"/>
      <c r="AE12" s="122"/>
      <c r="AF12" s="123">
        <f t="shared" si="10"/>
        <v>4397.13</v>
      </c>
      <c r="AG12" s="122"/>
      <c r="AH12" s="122"/>
      <c r="AI12" s="123">
        <f t="shared" si="11"/>
        <v>4397.13</v>
      </c>
      <c r="AJ12" s="134"/>
      <c r="AK12" s="130">
        <f t="shared" si="1"/>
        <v>1184.25</v>
      </c>
      <c r="AL12" s="131">
        <f t="shared" si="12"/>
        <v>0</v>
      </c>
    </row>
    <row r="13" spans="1:48" x14ac:dyDescent="0.2">
      <c r="A13" s="10" t="s">
        <v>4</v>
      </c>
      <c r="B13" s="123">
        <v>1645.07</v>
      </c>
      <c r="C13" s="134"/>
      <c r="D13" s="122"/>
      <c r="E13" s="123">
        <f>+B13+C13-D13</f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0"/>
        <v>1645.07</v>
      </c>
      <c r="R13" s="122"/>
      <c r="S13" s="122"/>
      <c r="T13" s="123">
        <f t="shared" ref="T13:T28" si="13">+Q13+R13-S13</f>
        <v>1645.07</v>
      </c>
      <c r="U13" s="122"/>
      <c r="V13" s="122"/>
      <c r="W13" s="123">
        <f>+T13+U13-V13</f>
        <v>1645.07</v>
      </c>
      <c r="X13" s="124">
        <f>239.35+230.81</f>
        <v>470.15999999999997</v>
      </c>
      <c r="Y13" s="122"/>
      <c r="Z13" s="123">
        <f>+W13+X13-Y13</f>
        <v>2115.23</v>
      </c>
      <c r="AA13" s="122"/>
      <c r="AB13" s="122"/>
      <c r="AC13" s="123">
        <f>+Z13+AA13-AB13</f>
        <v>2115.23</v>
      </c>
      <c r="AD13" s="122"/>
      <c r="AE13" s="122"/>
      <c r="AF13" s="123">
        <f>+AC13+AD13-AE13</f>
        <v>2115.23</v>
      </c>
      <c r="AG13" s="122"/>
      <c r="AH13" s="122"/>
      <c r="AI13" s="123">
        <f>+AF13+AG13-AH13</f>
        <v>2115.23</v>
      </c>
      <c r="AJ13" s="134"/>
      <c r="AK13" s="130">
        <f t="shared" si="1"/>
        <v>470.15999999999997</v>
      </c>
      <c r="AL13" s="131">
        <f t="shared" si="12"/>
        <v>0</v>
      </c>
    </row>
    <row r="14" spans="1:48" x14ac:dyDescent="0.2">
      <c r="A14" s="10" t="s">
        <v>13</v>
      </c>
      <c r="B14" s="123">
        <v>2670.24</v>
      </c>
      <c r="C14" s="134"/>
      <c r="D14" s="122"/>
      <c r="E14" s="123">
        <f>+B14+C14-D14</f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0"/>
        <v>2670.24</v>
      </c>
      <c r="R14" s="122"/>
      <c r="S14" s="122"/>
      <c r="T14" s="123">
        <f t="shared" si="13"/>
        <v>2670.24</v>
      </c>
      <c r="U14" s="122"/>
      <c r="V14" s="122"/>
      <c r="W14" s="123">
        <f>+T14+U14-V14</f>
        <v>2670.24</v>
      </c>
      <c r="X14" s="124">
        <f>184.65</f>
        <v>184.65</v>
      </c>
      <c r="Y14" s="122"/>
      <c r="Z14" s="123">
        <f>+W14+X14-Y14</f>
        <v>2854.89</v>
      </c>
      <c r="AA14" s="122"/>
      <c r="AB14" s="122"/>
      <c r="AC14" s="123">
        <f>+Z14+AA14-AB14</f>
        <v>2854.89</v>
      </c>
      <c r="AD14" s="122"/>
      <c r="AE14" s="122"/>
      <c r="AF14" s="123">
        <f>+AC14+AD14-AE14</f>
        <v>2854.89</v>
      </c>
      <c r="AG14" s="122"/>
      <c r="AH14" s="122"/>
      <c r="AI14" s="123">
        <f>+AF14+AG14-AH14</f>
        <v>2854.89</v>
      </c>
      <c r="AJ14" s="134"/>
      <c r="AK14" s="130">
        <f t="shared" si="1"/>
        <v>184.65</v>
      </c>
      <c r="AL14" s="131">
        <f t="shared" si="12"/>
        <v>0</v>
      </c>
    </row>
    <row r="15" spans="1:48" s="11" customFormat="1" x14ac:dyDescent="0.2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>+B15+C15-D15</f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100.38+117.58</f>
        <v>217.95999999999998</v>
      </c>
      <c r="N15" s="137">
        <f t="shared" ref="N15:N28" si="14">+K15+L15-M15</f>
        <v>4184.1900000000005</v>
      </c>
      <c r="O15" s="135"/>
      <c r="P15" s="124"/>
      <c r="Q15" s="137">
        <f t="shared" si="0"/>
        <v>4184.1900000000005</v>
      </c>
      <c r="R15" s="124">
        <v>700</v>
      </c>
      <c r="S15" s="124">
        <v>1248.82</v>
      </c>
      <c r="T15" s="137">
        <f t="shared" si="13"/>
        <v>3635.3700000000008</v>
      </c>
      <c r="U15" s="124">
        <v>400</v>
      </c>
      <c r="V15" s="124">
        <v>695</v>
      </c>
      <c r="W15" s="123">
        <f>+T15+U15-V15</f>
        <v>3340.3700000000008</v>
      </c>
      <c r="X15" s="124">
        <f>200+2499.72+2746.68</f>
        <v>5446.4</v>
      </c>
      <c r="Y15" s="124"/>
      <c r="Z15" s="123">
        <f>+W15+X15-Y15</f>
        <v>8786.77</v>
      </c>
      <c r="AA15" s="124"/>
      <c r="AB15" s="124"/>
      <c r="AC15" s="123">
        <f>+Z15+AA15-AB15</f>
        <v>8786.77</v>
      </c>
      <c r="AD15" s="124"/>
      <c r="AE15" s="124"/>
      <c r="AF15" s="123">
        <f>+AC15+AD15-AE15</f>
        <v>8786.77</v>
      </c>
      <c r="AG15" s="124"/>
      <c r="AH15" s="124"/>
      <c r="AI15" s="123">
        <f>+AF15+AG15-AH15</f>
        <v>8786.77</v>
      </c>
      <c r="AJ15" s="134"/>
      <c r="AK15" s="130">
        <f t="shared" si="1"/>
        <v>14445.22</v>
      </c>
      <c r="AL15" s="131">
        <f t="shared" si="12"/>
        <v>8884.0499999999993</v>
      </c>
    </row>
    <row r="16" spans="1:48" s="11" customFormat="1" x14ac:dyDescent="0.2">
      <c r="A16" s="10" t="s">
        <v>835</v>
      </c>
      <c r="B16" s="123">
        <v>7694.65</v>
      </c>
      <c r="C16" s="134">
        <f>30+30</f>
        <v>60</v>
      </c>
      <c r="D16" s="122"/>
      <c r="E16" s="123">
        <f t="shared" ref="E16:E22" si="15">+B16+C16-D16</f>
        <v>7754.65</v>
      </c>
      <c r="F16" s="122">
        <v>28.62</v>
      </c>
      <c r="G16" s="122"/>
      <c r="H16" s="123">
        <f t="shared" ref="H16:H22" si="16">+E16+F16-G16</f>
        <v>7783.2699999999995</v>
      </c>
      <c r="I16" s="135">
        <f>30+30</f>
        <v>60</v>
      </c>
      <c r="J16" s="122"/>
      <c r="K16" s="123">
        <f t="shared" ref="K16:K22" si="17">+H16+I16-J16</f>
        <v>7843.2699999999995</v>
      </c>
      <c r="L16" s="134"/>
      <c r="M16" s="124"/>
      <c r="N16" s="123">
        <f t="shared" ref="N16:N22" si="18">+K16+L16-M16</f>
        <v>7843.2699999999995</v>
      </c>
      <c r="O16" s="134">
        <v>30</v>
      </c>
      <c r="P16" s="122">
        <f>1730</f>
        <v>1730</v>
      </c>
      <c r="Q16" s="123">
        <f t="shared" si="0"/>
        <v>6143.2699999999995</v>
      </c>
      <c r="R16" s="122">
        <v>30</v>
      </c>
      <c r="S16" s="122">
        <v>379.59</v>
      </c>
      <c r="T16" s="123">
        <f t="shared" ref="T16:T22" si="19">+Q16+R16-S16</f>
        <v>5793.6799999999994</v>
      </c>
      <c r="U16" s="122"/>
      <c r="V16" s="122"/>
      <c r="W16" s="123">
        <f t="shared" ref="W16:W22" si="20">+T16+U16-V16</f>
        <v>5793.6799999999994</v>
      </c>
      <c r="X16" s="124">
        <f>30+410.39+1315.64</f>
        <v>1756.0300000000002</v>
      </c>
      <c r="Y16" s="122"/>
      <c r="Z16" s="123">
        <f t="shared" ref="Z16:Z22" si="21">+W16+X16-Y16</f>
        <v>7549.7099999999991</v>
      </c>
      <c r="AA16" s="122"/>
      <c r="AB16" s="122"/>
      <c r="AC16" s="123">
        <f t="shared" ref="AC16:AC22" si="22">+Z16+AA16-AB16</f>
        <v>7549.7099999999991</v>
      </c>
      <c r="AD16" s="122"/>
      <c r="AE16" s="122"/>
      <c r="AF16" s="123">
        <f t="shared" ref="AF16:AF22" si="23">+AC16+AD16-AE16</f>
        <v>7549.7099999999991</v>
      </c>
      <c r="AG16" s="122"/>
      <c r="AH16" s="122"/>
      <c r="AI16" s="123">
        <f t="shared" ref="AI16:AI22" si="24">+AF16+AG16-AH16</f>
        <v>7549.7099999999991</v>
      </c>
      <c r="AJ16" s="134"/>
      <c r="AK16" s="130">
        <f t="shared" si="1"/>
        <v>1964.65</v>
      </c>
      <c r="AL16" s="131">
        <f t="shared" si="12"/>
        <v>2109.59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2">
      <c r="A17" s="10" t="s">
        <v>836</v>
      </c>
      <c r="B17" s="123">
        <v>3788.95</v>
      </c>
      <c r="C17" s="134"/>
      <c r="D17" s="122"/>
      <c r="E17" s="123">
        <f t="shared" si="15"/>
        <v>3788.95</v>
      </c>
      <c r="F17" s="134">
        <v>100</v>
      </c>
      <c r="G17" s="122">
        <f>-352.08+49.35</f>
        <v>-302.72999999999996</v>
      </c>
      <c r="H17" s="123">
        <f t="shared" si="16"/>
        <v>4191.6799999999994</v>
      </c>
      <c r="I17" s="135">
        <f>45.98+250+28.71+47.88</f>
        <v>372.57</v>
      </c>
      <c r="J17" s="122"/>
      <c r="K17" s="123">
        <f t="shared" si="17"/>
        <v>4564.2499999999991</v>
      </c>
      <c r="L17" s="134"/>
      <c r="M17" s="122">
        <v>402.72</v>
      </c>
      <c r="N17" s="123">
        <f t="shared" si="18"/>
        <v>4161.5299999999988</v>
      </c>
      <c r="O17" s="134">
        <f>57.28</f>
        <v>57.28</v>
      </c>
      <c r="P17" s="122">
        <f>-402.72+550+402.72</f>
        <v>550</v>
      </c>
      <c r="Q17" s="123">
        <f t="shared" si="0"/>
        <v>3668.8099999999986</v>
      </c>
      <c r="R17" s="122"/>
      <c r="S17" s="122"/>
      <c r="T17" s="123">
        <f t="shared" si="19"/>
        <v>3668.8099999999986</v>
      </c>
      <c r="U17" s="122">
        <f>47.88+143.6</f>
        <v>191.48</v>
      </c>
      <c r="V17" s="122"/>
      <c r="W17" s="123">
        <f t="shared" si="20"/>
        <v>3860.2899999999986</v>
      </c>
      <c r="X17" s="124">
        <f>95.82+346.22</f>
        <v>442.04</v>
      </c>
      <c r="Y17" s="122"/>
      <c r="Z17" s="123">
        <f t="shared" si="21"/>
        <v>4302.329999999999</v>
      </c>
      <c r="AA17" s="122"/>
      <c r="AB17" s="122"/>
      <c r="AC17" s="123">
        <f t="shared" si="22"/>
        <v>4302.329999999999</v>
      </c>
      <c r="AD17" s="122"/>
      <c r="AE17" s="122"/>
      <c r="AF17" s="123">
        <f t="shared" si="23"/>
        <v>4302.329999999999</v>
      </c>
      <c r="AG17" s="122"/>
      <c r="AH17" s="122"/>
      <c r="AI17" s="123">
        <f t="shared" si="24"/>
        <v>4302.329999999999</v>
      </c>
      <c r="AJ17" s="134"/>
      <c r="AK17" s="130">
        <f t="shared" si="1"/>
        <v>1163.3699999999999</v>
      </c>
      <c r="AL17" s="131">
        <f t="shared" si="12"/>
        <v>649.99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2">
      <c r="A18" s="10" t="s">
        <v>837</v>
      </c>
      <c r="B18" s="123">
        <v>5584.08</v>
      </c>
      <c r="C18" s="134"/>
      <c r="D18" s="122"/>
      <c r="E18" s="123">
        <f t="shared" si="15"/>
        <v>5584.08</v>
      </c>
      <c r="F18" s="134"/>
      <c r="G18" s="122">
        <v>352.08</v>
      </c>
      <c r="H18" s="123">
        <f t="shared" si="16"/>
        <v>5232</v>
      </c>
      <c r="I18" s="135"/>
      <c r="J18" s="122"/>
      <c r="K18" s="123">
        <f t="shared" si="17"/>
        <v>5232</v>
      </c>
      <c r="L18" s="134"/>
      <c r="M18" s="124"/>
      <c r="N18" s="123">
        <f t="shared" si="18"/>
        <v>5232</v>
      </c>
      <c r="O18" s="134"/>
      <c r="P18" s="122"/>
      <c r="Q18" s="123">
        <f t="shared" si="0"/>
        <v>5232</v>
      </c>
      <c r="R18" s="122"/>
      <c r="S18" s="122">
        <v>1223.75</v>
      </c>
      <c r="T18" s="123">
        <f t="shared" si="19"/>
        <v>4008.25</v>
      </c>
      <c r="U18" s="122">
        <v>95.6</v>
      </c>
      <c r="V18" s="122"/>
      <c r="W18" s="123">
        <f t="shared" si="20"/>
        <v>4103.8500000000004</v>
      </c>
      <c r="X18" s="124">
        <f>20+479.12+71.87+479.43+461.63</f>
        <v>1512.0500000000002</v>
      </c>
      <c r="Y18" s="122">
        <v>282.66000000000003</v>
      </c>
      <c r="Z18" s="123">
        <f t="shared" si="21"/>
        <v>5333.2400000000007</v>
      </c>
      <c r="AA18" s="122"/>
      <c r="AB18" s="122"/>
      <c r="AC18" s="123">
        <f t="shared" si="22"/>
        <v>5333.2400000000007</v>
      </c>
      <c r="AD18" s="122"/>
      <c r="AE18" s="122"/>
      <c r="AF18" s="123">
        <f t="shared" si="23"/>
        <v>5333.2400000000007</v>
      </c>
      <c r="AG18" s="122"/>
      <c r="AH18" s="122"/>
      <c r="AI18" s="123">
        <f t="shared" si="24"/>
        <v>5333.2400000000007</v>
      </c>
      <c r="AJ18" s="134"/>
      <c r="AK18" s="130">
        <f t="shared" si="1"/>
        <v>1607.65</v>
      </c>
      <c r="AL18" s="131">
        <f t="shared" si="12"/>
        <v>1858.49</v>
      </c>
      <c r="AM18" s="5"/>
      <c r="AN18" s="5"/>
    </row>
    <row r="19" spans="1:61" s="11" customFormat="1" x14ac:dyDescent="0.2">
      <c r="A19" s="10" t="s">
        <v>838</v>
      </c>
      <c r="B19" s="123">
        <v>6948</v>
      </c>
      <c r="C19" s="134"/>
      <c r="D19" s="122"/>
      <c r="E19" s="123">
        <f t="shared" si="15"/>
        <v>6948</v>
      </c>
      <c r="F19" s="134">
        <v>71.56</v>
      </c>
      <c r="G19" s="122"/>
      <c r="H19" s="123">
        <f t="shared" si="16"/>
        <v>7019.56</v>
      </c>
      <c r="I19" s="135"/>
      <c r="J19" s="122"/>
      <c r="K19" s="123">
        <f t="shared" si="17"/>
        <v>7019.56</v>
      </c>
      <c r="L19" s="134"/>
      <c r="M19" s="122">
        <v>141.91999999999999</v>
      </c>
      <c r="N19" s="123">
        <f t="shared" si="18"/>
        <v>6877.64</v>
      </c>
      <c r="O19" s="134"/>
      <c r="P19" s="122">
        <f>126.62</f>
        <v>126.62</v>
      </c>
      <c r="Q19" s="123">
        <f t="shared" si="0"/>
        <v>6751.02</v>
      </c>
      <c r="R19" s="122"/>
      <c r="S19" s="122">
        <f>800+870</f>
        <v>1670</v>
      </c>
      <c r="T19" s="123">
        <f t="shared" si="19"/>
        <v>5081.0200000000004</v>
      </c>
      <c r="U19" s="122"/>
      <c r="V19" s="122"/>
      <c r="W19" s="123">
        <f t="shared" si="20"/>
        <v>5081.0200000000004</v>
      </c>
      <c r="X19" s="124">
        <f>143.61+830.93</f>
        <v>974.54</v>
      </c>
      <c r="Y19" s="122"/>
      <c r="Z19" s="123">
        <f t="shared" si="21"/>
        <v>6055.56</v>
      </c>
      <c r="AA19" s="122"/>
      <c r="AB19" s="122"/>
      <c r="AC19" s="123">
        <f t="shared" si="22"/>
        <v>6055.56</v>
      </c>
      <c r="AD19" s="122"/>
      <c r="AE19" s="122"/>
      <c r="AF19" s="123">
        <f t="shared" si="23"/>
        <v>6055.56</v>
      </c>
      <c r="AG19" s="122"/>
      <c r="AH19" s="122"/>
      <c r="AI19" s="123">
        <f t="shared" si="24"/>
        <v>6055.56</v>
      </c>
      <c r="AJ19" s="134"/>
      <c r="AK19" s="130">
        <f t="shared" si="1"/>
        <v>1046.0999999999999</v>
      </c>
      <c r="AL19" s="131">
        <f t="shared" si="12"/>
        <v>1938.54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2">
      <c r="A20" s="10" t="s">
        <v>839</v>
      </c>
      <c r="B20" s="123">
        <v>7041.4</v>
      </c>
      <c r="C20" s="134"/>
      <c r="D20" s="122"/>
      <c r="E20" s="123">
        <f t="shared" si="15"/>
        <v>7041.4</v>
      </c>
      <c r="F20" s="134">
        <v>42.8</v>
      </c>
      <c r="G20" s="122"/>
      <c r="H20" s="123">
        <f t="shared" si="16"/>
        <v>7084.2</v>
      </c>
      <c r="I20" s="135"/>
      <c r="J20" s="122"/>
      <c r="K20" s="123">
        <f t="shared" si="17"/>
        <v>7084.2</v>
      </c>
      <c r="L20" s="134"/>
      <c r="M20" s="122"/>
      <c r="N20" s="123">
        <f t="shared" si="18"/>
        <v>7084.2</v>
      </c>
      <c r="O20" s="134"/>
      <c r="P20" s="122">
        <f>71.57</f>
        <v>71.569999999999993</v>
      </c>
      <c r="Q20" s="123">
        <f t="shared" si="0"/>
        <v>7012.63</v>
      </c>
      <c r="R20" s="122"/>
      <c r="S20" s="122"/>
      <c r="T20" s="123">
        <f t="shared" si="19"/>
        <v>7012.63</v>
      </c>
      <c r="U20" s="122">
        <v>191.47</v>
      </c>
      <c r="V20" s="122"/>
      <c r="W20" s="123">
        <f t="shared" si="20"/>
        <v>7204.1</v>
      </c>
      <c r="X20" s="124">
        <v>184.65</v>
      </c>
      <c r="Y20" s="122"/>
      <c r="Z20" s="123">
        <f t="shared" si="21"/>
        <v>7388.75</v>
      </c>
      <c r="AA20" s="122"/>
      <c r="AB20" s="122"/>
      <c r="AC20" s="123">
        <f t="shared" si="22"/>
        <v>7388.75</v>
      </c>
      <c r="AD20" s="122"/>
      <c r="AE20" s="122"/>
      <c r="AF20" s="123">
        <f t="shared" si="23"/>
        <v>7388.75</v>
      </c>
      <c r="AG20" s="122"/>
      <c r="AH20" s="122"/>
      <c r="AI20" s="123">
        <f t="shared" si="24"/>
        <v>7388.75</v>
      </c>
      <c r="AJ20" s="134"/>
      <c r="AK20" s="130">
        <f t="shared" si="1"/>
        <v>418.92</v>
      </c>
      <c r="AL20" s="131">
        <f t="shared" si="12"/>
        <v>71.569999999999993</v>
      </c>
      <c r="AM20" s="5"/>
      <c r="AN20" s="5"/>
      <c r="AO20" s="5"/>
      <c r="AP20" s="5"/>
      <c r="AQ20" s="5"/>
    </row>
    <row r="21" spans="1:61" s="11" customFormat="1" x14ac:dyDescent="0.2">
      <c r="A21" s="10" t="s">
        <v>840</v>
      </c>
      <c r="B21" s="123">
        <v>2260.41</v>
      </c>
      <c r="C21" s="134"/>
      <c r="D21" s="122"/>
      <c r="E21" s="123">
        <f t="shared" si="15"/>
        <v>2260.41</v>
      </c>
      <c r="F21" s="134">
        <v>23.85</v>
      </c>
      <c r="G21" s="122"/>
      <c r="H21" s="123">
        <f t="shared" si="16"/>
        <v>2284.2599999999998</v>
      </c>
      <c r="I21" s="135"/>
      <c r="J21" s="122"/>
      <c r="K21" s="123">
        <f t="shared" si="17"/>
        <v>2284.2599999999998</v>
      </c>
      <c r="L21" s="134"/>
      <c r="M21" s="122"/>
      <c r="N21" s="123">
        <f t="shared" si="18"/>
        <v>2284.2599999999998</v>
      </c>
      <c r="O21" s="134"/>
      <c r="P21" s="122"/>
      <c r="Q21" s="123">
        <f t="shared" si="0"/>
        <v>2284.2599999999998</v>
      </c>
      <c r="R21" s="122">
        <v>479.9</v>
      </c>
      <c r="S21" s="122"/>
      <c r="T21" s="123">
        <f t="shared" si="19"/>
        <v>2764.16</v>
      </c>
      <c r="U21" s="122"/>
      <c r="V21" s="122"/>
      <c r="W21" s="123">
        <f t="shared" si="20"/>
        <v>2764.16</v>
      </c>
      <c r="X21" s="124">
        <f>1000+335.41+95.7+530.87+1000</f>
        <v>2961.98</v>
      </c>
      <c r="Y21" s="122">
        <v>1241.67</v>
      </c>
      <c r="Z21" s="123">
        <f t="shared" si="21"/>
        <v>4484.4699999999993</v>
      </c>
      <c r="AA21" s="122"/>
      <c r="AB21" s="122"/>
      <c r="AC21" s="123">
        <f t="shared" si="22"/>
        <v>4484.4699999999993</v>
      </c>
      <c r="AD21" s="122"/>
      <c r="AE21" s="122"/>
      <c r="AF21" s="123">
        <f t="shared" si="23"/>
        <v>4484.4699999999993</v>
      </c>
      <c r="AG21" s="122"/>
      <c r="AH21" s="122"/>
      <c r="AI21" s="123">
        <f t="shared" si="24"/>
        <v>4484.4699999999993</v>
      </c>
      <c r="AJ21" s="134"/>
      <c r="AK21" s="130">
        <f t="shared" si="1"/>
        <v>3465.73</v>
      </c>
      <c r="AL21" s="131">
        <f t="shared" si="12"/>
        <v>1241.67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2">
      <c r="A22" s="10" t="s">
        <v>841</v>
      </c>
      <c r="B22" s="123">
        <v>1286.1500000000001</v>
      </c>
      <c r="C22" s="134"/>
      <c r="D22" s="122"/>
      <c r="E22" s="123">
        <f t="shared" si="15"/>
        <v>1286.1500000000001</v>
      </c>
      <c r="F22" s="134"/>
      <c r="G22" s="122"/>
      <c r="H22" s="123">
        <f t="shared" si="16"/>
        <v>1286.1500000000001</v>
      </c>
      <c r="I22" s="135"/>
      <c r="J22" s="122"/>
      <c r="K22" s="123">
        <f t="shared" si="17"/>
        <v>1286.1500000000001</v>
      </c>
      <c r="L22" s="134"/>
      <c r="M22" s="122"/>
      <c r="N22" s="123">
        <f t="shared" si="18"/>
        <v>1286.1500000000001</v>
      </c>
      <c r="O22" s="134"/>
      <c r="P22" s="122"/>
      <c r="Q22" s="123">
        <f t="shared" si="0"/>
        <v>1286.1500000000001</v>
      </c>
      <c r="R22" s="122"/>
      <c r="S22" s="122"/>
      <c r="T22" s="123">
        <f t="shared" si="19"/>
        <v>1286.1500000000001</v>
      </c>
      <c r="U22" s="122"/>
      <c r="V22" s="122"/>
      <c r="W22" s="123">
        <f t="shared" si="20"/>
        <v>1286.1500000000001</v>
      </c>
      <c r="X22" s="124"/>
      <c r="Y22" s="122"/>
      <c r="Z22" s="123">
        <f t="shared" si="21"/>
        <v>1286.1500000000001</v>
      </c>
      <c r="AA22" s="122"/>
      <c r="AB22" s="122"/>
      <c r="AC22" s="123">
        <f t="shared" si="22"/>
        <v>1286.1500000000001</v>
      </c>
      <c r="AD22" s="122"/>
      <c r="AE22" s="122"/>
      <c r="AF22" s="123">
        <f t="shared" si="23"/>
        <v>1286.1500000000001</v>
      </c>
      <c r="AG22" s="122"/>
      <c r="AH22" s="122"/>
      <c r="AI22" s="123">
        <f t="shared" si="24"/>
        <v>1286.1500000000001</v>
      </c>
      <c r="AJ22" s="134"/>
      <c r="AK22" s="130">
        <f t="shared" si="1"/>
        <v>0</v>
      </c>
      <c r="AL22" s="131">
        <f t="shared" si="12"/>
        <v>0</v>
      </c>
      <c r="AM22" s="5"/>
      <c r="AN22" s="5"/>
      <c r="AO22" s="5"/>
      <c r="AP22" s="5"/>
      <c r="AQ22" s="5"/>
      <c r="AR22" s="5"/>
    </row>
    <row r="23" spans="1:61" x14ac:dyDescent="0.2">
      <c r="A23" s="10" t="s">
        <v>842</v>
      </c>
      <c r="B23" s="123">
        <v>1065.4100000000001</v>
      </c>
      <c r="C23" s="134">
        <v>1150</v>
      </c>
      <c r="D23" s="122">
        <v>2000</v>
      </c>
      <c r="E23" s="123">
        <f t="shared" ref="E23:E28" si="25">+B23+C23-D23</f>
        <v>215.40999999999985</v>
      </c>
      <c r="F23" s="134">
        <v>300</v>
      </c>
      <c r="G23" s="122">
        <f>331.25+315.01</f>
        <v>646.26</v>
      </c>
      <c r="H23" s="123">
        <f t="shared" ref="H23:H28" si="26">+E23+F23-G23</f>
        <v>-130.85000000000014</v>
      </c>
      <c r="I23" s="135">
        <f>1600+700</f>
        <v>2300</v>
      </c>
      <c r="J23" s="122">
        <v>639.13</v>
      </c>
      <c r="K23" s="123">
        <f t="shared" ref="K23:K28" si="27">+H23+I23-J23</f>
        <v>1530.0199999999995</v>
      </c>
      <c r="L23" s="134"/>
      <c r="M23" s="122">
        <v>149.05000000000001</v>
      </c>
      <c r="N23" s="123">
        <f t="shared" si="14"/>
        <v>1380.9699999999996</v>
      </c>
      <c r="O23" s="134"/>
      <c r="P23" s="122">
        <f>68+36</f>
        <v>104</v>
      </c>
      <c r="Q23" s="123">
        <f t="shared" si="0"/>
        <v>1276.9699999999996</v>
      </c>
      <c r="R23" s="122"/>
      <c r="S23" s="122"/>
      <c r="T23" s="123">
        <f t="shared" si="13"/>
        <v>1276.9699999999996</v>
      </c>
      <c r="U23" s="122">
        <v>191.47</v>
      </c>
      <c r="V23" s="122"/>
      <c r="W23" s="123">
        <f t="shared" ref="W23:W28" si="28">+T23+U23-V23</f>
        <v>1468.4399999999996</v>
      </c>
      <c r="X23" s="124">
        <f>23.93+2205.36+900.17</f>
        <v>3129.46</v>
      </c>
      <c r="Y23" s="122"/>
      <c r="Z23" s="123">
        <f t="shared" ref="Z23:Z28" si="29">+W23+X23-Y23</f>
        <v>4597.8999999999996</v>
      </c>
      <c r="AA23" s="122"/>
      <c r="AB23" s="122"/>
      <c r="AC23" s="123">
        <f t="shared" ref="AC23:AC28" si="30">+Z23+AA23-AB23</f>
        <v>4597.8999999999996</v>
      </c>
      <c r="AD23" s="122"/>
      <c r="AE23" s="122"/>
      <c r="AF23" s="123">
        <f t="shared" ref="AF23:AF28" si="31">+AC23+AD23-AE23</f>
        <v>4597.8999999999996</v>
      </c>
      <c r="AG23" s="122"/>
      <c r="AH23" s="122"/>
      <c r="AI23" s="123">
        <f t="shared" ref="AI23:AI28" si="32">+AF23+AG23-AH23</f>
        <v>4597.8999999999996</v>
      </c>
      <c r="AJ23" s="134"/>
      <c r="AK23" s="130">
        <f t="shared" si="1"/>
        <v>7070.93</v>
      </c>
      <c r="AL23" s="131">
        <f t="shared" si="12"/>
        <v>3538.44</v>
      </c>
    </row>
    <row r="24" spans="1:61" x14ac:dyDescent="0.2">
      <c r="A24" s="10" t="s">
        <v>6</v>
      </c>
      <c r="B24" s="123">
        <v>2235.69</v>
      </c>
      <c r="C24" s="134"/>
      <c r="D24" s="122"/>
      <c r="E24" s="123">
        <f t="shared" si="25"/>
        <v>2235.69</v>
      </c>
      <c r="F24" s="134"/>
      <c r="G24" s="122"/>
      <c r="H24" s="123">
        <f t="shared" si="26"/>
        <v>2235.69</v>
      </c>
      <c r="I24" s="135">
        <v>71.84</v>
      </c>
      <c r="J24" s="122"/>
      <c r="K24" s="123">
        <f t="shared" si="27"/>
        <v>2307.5300000000002</v>
      </c>
      <c r="L24" s="134"/>
      <c r="M24" s="122"/>
      <c r="N24" s="123">
        <f t="shared" si="14"/>
        <v>2307.5300000000002</v>
      </c>
      <c r="O24" s="134"/>
      <c r="P24" s="122"/>
      <c r="Q24" s="123">
        <f t="shared" si="0"/>
        <v>2307.5300000000002</v>
      </c>
      <c r="R24" s="122"/>
      <c r="S24" s="122"/>
      <c r="T24" s="123">
        <f t="shared" si="13"/>
        <v>2307.5300000000002</v>
      </c>
      <c r="U24" s="122"/>
      <c r="V24" s="122"/>
      <c r="W24" s="123">
        <f t="shared" si="28"/>
        <v>2307.5300000000002</v>
      </c>
      <c r="X24" s="124">
        <f>10+1011.59</f>
        <v>1021.59</v>
      </c>
      <c r="Y24" s="122"/>
      <c r="Z24" s="123">
        <f t="shared" si="29"/>
        <v>3329.1200000000003</v>
      </c>
      <c r="AA24" s="122"/>
      <c r="AB24" s="122"/>
      <c r="AC24" s="123">
        <f t="shared" si="30"/>
        <v>3329.1200000000003</v>
      </c>
      <c r="AD24" s="122"/>
      <c r="AE24" s="122"/>
      <c r="AF24" s="123">
        <f t="shared" si="31"/>
        <v>3329.1200000000003</v>
      </c>
      <c r="AG24" s="122"/>
      <c r="AH24" s="122"/>
      <c r="AI24" s="123">
        <f t="shared" si="32"/>
        <v>3329.1200000000003</v>
      </c>
      <c r="AJ24" s="134"/>
      <c r="AK24" s="130">
        <f t="shared" si="1"/>
        <v>1093.43</v>
      </c>
      <c r="AL24" s="131">
        <f t="shared" si="12"/>
        <v>0</v>
      </c>
    </row>
    <row r="25" spans="1:61" x14ac:dyDescent="0.2">
      <c r="A25" s="10" t="s">
        <v>7</v>
      </c>
      <c r="B25" s="123">
        <v>2265.48</v>
      </c>
      <c r="C25" s="134"/>
      <c r="D25" s="122"/>
      <c r="E25" s="123">
        <f t="shared" si="25"/>
        <v>2265.48</v>
      </c>
      <c r="F25" s="134"/>
      <c r="G25" s="122"/>
      <c r="H25" s="123">
        <f t="shared" si="26"/>
        <v>2265.48</v>
      </c>
      <c r="I25" s="135"/>
      <c r="J25" s="122"/>
      <c r="K25" s="123">
        <f t="shared" si="27"/>
        <v>2265.48</v>
      </c>
      <c r="L25" s="134"/>
      <c r="M25" s="122"/>
      <c r="N25" s="123">
        <f t="shared" si="14"/>
        <v>2265.48</v>
      </c>
      <c r="O25" s="134"/>
      <c r="P25" s="122"/>
      <c r="Q25" s="123">
        <f t="shared" si="0"/>
        <v>2265.48</v>
      </c>
      <c r="R25" s="122"/>
      <c r="S25" s="122"/>
      <c r="T25" s="123">
        <f t="shared" si="13"/>
        <v>2265.48</v>
      </c>
      <c r="U25" s="122"/>
      <c r="V25" s="122"/>
      <c r="W25" s="123">
        <f t="shared" si="28"/>
        <v>2265.48</v>
      </c>
      <c r="X25" s="124">
        <f>335.09+623.2</f>
        <v>958.29</v>
      </c>
      <c r="Y25" s="122"/>
      <c r="Z25" s="123">
        <f t="shared" si="29"/>
        <v>3223.77</v>
      </c>
      <c r="AA25" s="122"/>
      <c r="AB25" s="122"/>
      <c r="AC25" s="123">
        <f t="shared" si="30"/>
        <v>3223.77</v>
      </c>
      <c r="AD25" s="122"/>
      <c r="AE25" s="122"/>
      <c r="AF25" s="123">
        <f t="shared" si="31"/>
        <v>3223.77</v>
      </c>
      <c r="AG25" s="122"/>
      <c r="AH25" s="122"/>
      <c r="AI25" s="123">
        <f t="shared" si="32"/>
        <v>3223.77</v>
      </c>
      <c r="AJ25" s="134"/>
      <c r="AK25" s="130">
        <f t="shared" si="1"/>
        <v>958.29</v>
      </c>
      <c r="AL25" s="131">
        <f t="shared" si="12"/>
        <v>0</v>
      </c>
    </row>
    <row r="26" spans="1:61" x14ac:dyDescent="0.2">
      <c r="A26" s="10" t="s">
        <v>843</v>
      </c>
      <c r="B26" s="123">
        <v>179.75</v>
      </c>
      <c r="C26" s="134"/>
      <c r="D26" s="122"/>
      <c r="E26" s="123">
        <f t="shared" si="25"/>
        <v>179.75</v>
      </c>
      <c r="F26" s="134"/>
      <c r="G26" s="122"/>
      <c r="H26" s="123">
        <f t="shared" si="26"/>
        <v>179.75</v>
      </c>
      <c r="I26" s="135"/>
      <c r="J26" s="122"/>
      <c r="K26" s="123">
        <f t="shared" si="27"/>
        <v>179.75</v>
      </c>
      <c r="L26" s="134"/>
      <c r="M26" s="197"/>
      <c r="N26" s="123">
        <f t="shared" si="14"/>
        <v>179.75</v>
      </c>
      <c r="O26" s="134"/>
      <c r="P26" s="122"/>
      <c r="Q26" s="123">
        <f t="shared" si="0"/>
        <v>179.75</v>
      </c>
      <c r="R26" s="122"/>
      <c r="S26" s="122"/>
      <c r="T26" s="123">
        <f t="shared" si="13"/>
        <v>179.75</v>
      </c>
      <c r="U26" s="122"/>
      <c r="V26" s="122"/>
      <c r="W26" s="123">
        <f t="shared" si="28"/>
        <v>179.75</v>
      </c>
      <c r="X26" s="124">
        <f>47.87+100+110.27+300.06</f>
        <v>558.20000000000005</v>
      </c>
      <c r="Y26" s="122"/>
      <c r="Z26" s="123">
        <f t="shared" si="29"/>
        <v>737.95</v>
      </c>
      <c r="AA26" s="122"/>
      <c r="AB26" s="122"/>
      <c r="AC26" s="123">
        <f t="shared" si="30"/>
        <v>737.95</v>
      </c>
      <c r="AD26" s="122"/>
      <c r="AE26" s="122"/>
      <c r="AF26" s="123">
        <f t="shared" si="31"/>
        <v>737.95</v>
      </c>
      <c r="AG26" s="122"/>
      <c r="AH26" s="122"/>
      <c r="AI26" s="123">
        <f t="shared" si="32"/>
        <v>737.95</v>
      </c>
      <c r="AJ26" s="134"/>
      <c r="AK26" s="130">
        <f t="shared" si="1"/>
        <v>558.20000000000005</v>
      </c>
      <c r="AL26" s="131">
        <f t="shared" si="12"/>
        <v>0</v>
      </c>
    </row>
    <row r="27" spans="1:61" x14ac:dyDescent="0.2">
      <c r="A27" s="10" t="s">
        <v>8</v>
      </c>
      <c r="B27" s="123">
        <v>3583.78</v>
      </c>
      <c r="C27" s="134"/>
      <c r="D27" s="122"/>
      <c r="E27" s="123">
        <f t="shared" si="25"/>
        <v>3583.78</v>
      </c>
      <c r="F27" s="134">
        <v>47.7</v>
      </c>
      <c r="G27" s="122"/>
      <c r="H27" s="123">
        <f t="shared" si="26"/>
        <v>3631.48</v>
      </c>
      <c r="I27" s="135">
        <v>71.819999999999993</v>
      </c>
      <c r="J27" s="122"/>
      <c r="K27" s="123">
        <f t="shared" si="27"/>
        <v>3703.3</v>
      </c>
      <c r="L27" s="134"/>
      <c r="M27" s="122">
        <f>346.68+219.8</f>
        <v>566.48</v>
      </c>
      <c r="N27" s="123">
        <f t="shared" si="14"/>
        <v>3136.82</v>
      </c>
      <c r="O27" s="134"/>
      <c r="P27" s="122">
        <f>42.88+102.17+88.08</f>
        <v>233.13</v>
      </c>
      <c r="Q27" s="123">
        <f t="shared" si="0"/>
        <v>2903.69</v>
      </c>
      <c r="R27" s="122"/>
      <c r="S27" s="122">
        <v>68.5</v>
      </c>
      <c r="T27" s="123">
        <f t="shared" si="13"/>
        <v>2835.19</v>
      </c>
      <c r="U27" s="122"/>
      <c r="V27" s="122">
        <v>6.92</v>
      </c>
      <c r="W27" s="123">
        <f t="shared" si="28"/>
        <v>2828.27</v>
      </c>
      <c r="X27" s="124">
        <f>47.87+225.81+1523.37</f>
        <v>1797.05</v>
      </c>
      <c r="Y27" s="122"/>
      <c r="Z27" s="123">
        <f t="shared" si="29"/>
        <v>4625.32</v>
      </c>
      <c r="AA27" s="122"/>
      <c r="AB27" s="122"/>
      <c r="AC27" s="123">
        <f t="shared" si="30"/>
        <v>4625.32</v>
      </c>
      <c r="AD27" s="122"/>
      <c r="AE27" s="122"/>
      <c r="AF27" s="123">
        <f t="shared" si="31"/>
        <v>4625.32</v>
      </c>
      <c r="AG27" s="122"/>
      <c r="AH27" s="122"/>
      <c r="AI27" s="123">
        <f t="shared" si="32"/>
        <v>4625.32</v>
      </c>
      <c r="AJ27" s="134"/>
      <c r="AK27" s="130">
        <f t="shared" si="1"/>
        <v>1916.57</v>
      </c>
      <c r="AL27" s="131">
        <f t="shared" si="12"/>
        <v>875.03</v>
      </c>
    </row>
    <row r="28" spans="1:61" ht="17" thickBot="1" x14ac:dyDescent="0.25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25"/>
        <v>4351.1580000000004</v>
      </c>
      <c r="F28" s="134"/>
      <c r="G28" s="122"/>
      <c r="H28" s="136">
        <f t="shared" si="26"/>
        <v>4351.1580000000004</v>
      </c>
      <c r="I28" s="135"/>
      <c r="J28" s="122"/>
      <c r="K28" s="136">
        <f t="shared" si="27"/>
        <v>4351.1580000000004</v>
      </c>
      <c r="L28" s="134"/>
      <c r="M28" s="122"/>
      <c r="N28" s="136">
        <f t="shared" si="14"/>
        <v>4351.1580000000004</v>
      </c>
      <c r="O28" s="134"/>
      <c r="P28" s="122"/>
      <c r="Q28" s="136">
        <f>+N28+O28-P28</f>
        <v>4351.1580000000004</v>
      </c>
      <c r="R28" s="122"/>
      <c r="S28" s="122">
        <v>115.8</v>
      </c>
      <c r="T28" s="136">
        <f t="shared" si="13"/>
        <v>4235.3580000000002</v>
      </c>
      <c r="U28" s="122"/>
      <c r="V28" s="122"/>
      <c r="W28" s="136">
        <f t="shared" si="28"/>
        <v>4235.3580000000002</v>
      </c>
      <c r="X28" s="124">
        <f>461.63+1000</f>
        <v>1461.63</v>
      </c>
      <c r="Y28" s="122"/>
      <c r="Z28" s="136">
        <f t="shared" si="29"/>
        <v>5696.9880000000003</v>
      </c>
      <c r="AA28" s="122"/>
      <c r="AB28" s="122"/>
      <c r="AC28" s="136">
        <f t="shared" si="30"/>
        <v>5696.9880000000003</v>
      </c>
      <c r="AD28" s="122"/>
      <c r="AE28" s="122"/>
      <c r="AF28" s="136">
        <f t="shared" si="31"/>
        <v>5696.9880000000003</v>
      </c>
      <c r="AG28" s="122"/>
      <c r="AH28" s="122"/>
      <c r="AI28" s="136">
        <f t="shared" si="32"/>
        <v>5696.9880000000003</v>
      </c>
      <c r="AJ28" s="134"/>
      <c r="AK28" s="132">
        <f>SUM(AG28,AD28,AA28,X28,U28,R28,O28,L28,I28,F28,C28)</f>
        <v>1509.6080000000002</v>
      </c>
      <c r="AL28" s="133">
        <f>SUM(AH28,AE28,AB28,Y28,V28,S28,P28,M28,J28,G28,D28)</f>
        <v>115.8</v>
      </c>
    </row>
    <row r="29" spans="1:61" s="122" customFormat="1" ht="17" thickBot="1" x14ac:dyDescent="0.25">
      <c r="A29" s="126" t="s">
        <v>10</v>
      </c>
      <c r="B29" s="127">
        <f t="shared" ref="B29:AI29" si="33">SUM(B5:B28)</f>
        <v>76919.350000000006</v>
      </c>
      <c r="C29" s="125">
        <f t="shared" si="33"/>
        <v>4291.3180000000002</v>
      </c>
      <c r="D29" s="125">
        <f t="shared" si="33"/>
        <v>5371.35</v>
      </c>
      <c r="E29" s="128">
        <f t="shared" si="33"/>
        <v>75839.317999999985</v>
      </c>
      <c r="F29" s="125">
        <f t="shared" si="33"/>
        <v>3114.9399999999996</v>
      </c>
      <c r="G29" s="125">
        <f t="shared" si="33"/>
        <v>3521.5299999999997</v>
      </c>
      <c r="H29" s="128">
        <f t="shared" si="33"/>
        <v>75432.728000000003</v>
      </c>
      <c r="I29" s="125">
        <f t="shared" si="33"/>
        <v>11399</v>
      </c>
      <c r="J29" s="125">
        <f t="shared" si="33"/>
        <v>1461.9699999999998</v>
      </c>
      <c r="K29" s="128">
        <f t="shared" si="33"/>
        <v>85369.757999999987</v>
      </c>
      <c r="L29" s="125">
        <f t="shared" si="33"/>
        <v>4882.67</v>
      </c>
      <c r="M29" s="125">
        <f t="shared" si="33"/>
        <v>7491.4500000000007</v>
      </c>
      <c r="N29" s="128">
        <f t="shared" si="33"/>
        <v>82760.977999999988</v>
      </c>
      <c r="O29" s="125">
        <f t="shared" si="33"/>
        <v>4437.28</v>
      </c>
      <c r="P29" s="125">
        <f t="shared" si="33"/>
        <v>5015.32</v>
      </c>
      <c r="Q29" s="128">
        <f t="shared" si="33"/>
        <v>82182.93799999998</v>
      </c>
      <c r="R29" s="125">
        <f t="shared" si="33"/>
        <v>1640.8200000000002</v>
      </c>
      <c r="S29" s="125">
        <f t="shared" si="33"/>
        <v>7095.3600000000006</v>
      </c>
      <c r="T29" s="128">
        <f t="shared" si="33"/>
        <v>76728.398000000016</v>
      </c>
      <c r="U29" s="125">
        <f t="shared" si="33"/>
        <v>1952.77</v>
      </c>
      <c r="V29" s="125">
        <f t="shared" si="33"/>
        <v>1701.92</v>
      </c>
      <c r="W29" s="128">
        <f t="shared" si="33"/>
        <v>76979.248000000021</v>
      </c>
      <c r="X29" s="125">
        <f t="shared" si="33"/>
        <v>42247.119999999995</v>
      </c>
      <c r="Y29" s="125">
        <f>SUM(Y5:Y28)</f>
        <v>4539.28</v>
      </c>
      <c r="Z29" s="128">
        <f t="shared" si="33"/>
        <v>114687.08799999997</v>
      </c>
      <c r="AA29" s="125">
        <f t="shared" si="33"/>
        <v>0</v>
      </c>
      <c r="AB29" s="125">
        <f t="shared" si="33"/>
        <v>0</v>
      </c>
      <c r="AC29" s="128">
        <f t="shared" si="33"/>
        <v>114687.08799999997</v>
      </c>
      <c r="AD29" s="125">
        <f t="shared" si="33"/>
        <v>0</v>
      </c>
      <c r="AE29" s="125">
        <f t="shared" si="33"/>
        <v>0</v>
      </c>
      <c r="AF29" s="128">
        <f t="shared" si="33"/>
        <v>114687.08799999997</v>
      </c>
      <c r="AG29" s="125">
        <f t="shared" si="33"/>
        <v>0</v>
      </c>
      <c r="AH29" s="125">
        <f t="shared" si="33"/>
        <v>0</v>
      </c>
      <c r="AI29" s="128">
        <f t="shared" si="33"/>
        <v>114687.08799999997</v>
      </c>
      <c r="AJ29" s="51"/>
      <c r="AK29" s="128">
        <f>SUM(AK5:AK28)</f>
        <v>73965.918000000005</v>
      </c>
      <c r="AL29" s="129">
        <f>SUM(AL5:AL28)</f>
        <v>36198.180000000008</v>
      </c>
    </row>
    <row r="30" spans="1:61" x14ac:dyDescent="0.2">
      <c r="E30" s="3"/>
      <c r="H30" s="3"/>
      <c r="K30" s="3"/>
      <c r="N30" s="3"/>
      <c r="Q30" s="3"/>
      <c r="T30" s="3"/>
      <c r="W30" s="12" t="s">
        <v>1069</v>
      </c>
      <c r="X30" s="12">
        <v>230.81</v>
      </c>
    </row>
    <row r="32" spans="1:61" x14ac:dyDescent="0.2">
      <c r="O32" s="3"/>
      <c r="Q32" s="3"/>
    </row>
    <row r="33" spans="2:18" x14ac:dyDescent="0.2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4"/>
  <sheetViews>
    <sheetView workbookViewId="0">
      <pane xSplit="1" topLeftCell="B1" activePane="topRight" state="frozen"/>
      <selection pane="topRight" activeCell="AD85" sqref="AD85"/>
    </sheetView>
  </sheetViews>
  <sheetFormatPr baseColWidth="10" defaultColWidth="8.6640625" defaultRowHeight="13" outlineLevelCol="1" x14ac:dyDescent="0.15"/>
  <cols>
    <col min="1" max="1" width="19.33203125" customWidth="1"/>
    <col min="2" max="2" width="1.33203125" customWidth="1" outlineLevel="1"/>
    <col min="3" max="3" width="1.1640625" customWidth="1" outlineLevel="1"/>
    <col min="4" max="4" width="1.33203125" customWidth="1" outlineLevel="1"/>
    <col min="5" max="5" width="0.33203125" customWidth="1" outlineLevel="1"/>
    <col min="6" max="6" width="0.6640625" customWidth="1" outlineLevel="1"/>
    <col min="7" max="7" width="0.33203125" customWidth="1" outlineLevel="1"/>
    <col min="8" max="8" width="0.6640625" customWidth="1" outlineLevel="1"/>
    <col min="9" max="9" width="1.1640625" customWidth="1" outlineLevel="1"/>
    <col min="10" max="11" width="1.33203125" customWidth="1" outlineLevel="1"/>
    <col min="12" max="12" width="1.6640625" customWidth="1" outlineLevel="1"/>
    <col min="13" max="13" width="1.1640625" customWidth="1" outlineLevel="1"/>
    <col min="14" max="14" width="1.1640625" style="59" customWidth="1" outlineLevel="1"/>
    <col min="15" max="15" width="1" customWidth="1" outlineLevel="1"/>
    <col min="16" max="16" width="0.33203125" customWidth="1" outlineLevel="1"/>
    <col min="17" max="17" width="1.1640625" customWidth="1" outlineLevel="1"/>
    <col min="18" max="18" width="0.1640625" customWidth="1" outlineLevel="1"/>
    <col min="19" max="19" width="1.6640625" customWidth="1" outlineLevel="1"/>
    <col min="20" max="20" width="0.1640625" customWidth="1" outlineLevel="1"/>
    <col min="21" max="21" width="10.83203125" customWidth="1" outlineLevel="1"/>
    <col min="22" max="22" width="0.1640625" style="107" customWidth="1" outlineLevel="1"/>
    <col min="23" max="23" width="15.33203125" customWidth="1" outlineLevel="1"/>
    <col min="24" max="24" width="15.33203125" customWidth="1"/>
    <col min="25" max="29" width="14.6640625" customWidth="1"/>
    <col min="30" max="30" width="16.83203125" customWidth="1"/>
    <col min="31" max="31" width="23.33203125" customWidth="1"/>
    <col min="32" max="33" width="9.6640625" hidden="1" customWidth="1"/>
    <col min="34" max="34" width="2.33203125" hidden="1" customWidth="1"/>
  </cols>
  <sheetData>
    <row r="1" spans="1:34" ht="18" x14ac:dyDescent="0.2">
      <c r="A1" s="248" t="s">
        <v>294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</row>
    <row r="2" spans="1:34" ht="18.75" customHeight="1" x14ac:dyDescent="0.15">
      <c r="A2" s="249" t="s">
        <v>295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1:34" x14ac:dyDescent="0.15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15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946</v>
      </c>
      <c r="AE4" s="67" t="s">
        <v>931</v>
      </c>
      <c r="AF4" s="65"/>
      <c r="AG4" s="68"/>
      <c r="AH4" s="58"/>
    </row>
    <row r="5" spans="1:34" x14ac:dyDescent="0.15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/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15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x14ac:dyDescent="0.1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70">
        <f>SUM(AA7:AC7)</f>
        <v>0</v>
      </c>
      <c r="AF7" s="73">
        <f t="shared" si="0"/>
        <v>0</v>
      </c>
      <c r="AG7" s="74"/>
      <c r="AH7" s="54" t="s">
        <v>189</v>
      </c>
    </row>
    <row r="8" spans="1:34" x14ac:dyDescent="0.1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ref="AE8:AE29" si="1">SUM(AA8:AC8)</f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15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x14ac:dyDescent="0.1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x14ac:dyDescent="0.1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15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15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15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15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x14ac:dyDescent="0.1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15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x14ac:dyDescent="0.1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x14ac:dyDescent="0.1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15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x14ac:dyDescent="0.1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15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15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>
        <f>2080/2</f>
        <v>1040</v>
      </c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x14ac:dyDescent="0.1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>
        <f>2080/2</f>
        <v>1040</v>
      </c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x14ac:dyDescent="0.1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15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15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/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15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4" thickBot="1" x14ac:dyDescent="0.2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4" hidden="1" thickBot="1" x14ac:dyDescent="0.2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4" hidden="1" thickBot="1" x14ac:dyDescent="0.2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4" hidden="1" thickBot="1" x14ac:dyDescent="0.2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4" hidden="1" thickBot="1" x14ac:dyDescent="0.2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4" hidden="1" thickBot="1" x14ac:dyDescent="0.2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4" hidden="1" thickBot="1" x14ac:dyDescent="0.2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4" hidden="1" thickBot="1" x14ac:dyDescent="0.2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4" hidden="1" thickBot="1" x14ac:dyDescent="0.2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4" hidden="1" thickBot="1" x14ac:dyDescent="0.2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4" hidden="1" thickBot="1" x14ac:dyDescent="0.2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4" hidden="1" thickBot="1" x14ac:dyDescent="0.2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4" hidden="1" thickBot="1" x14ac:dyDescent="0.2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4" hidden="1" thickBot="1" x14ac:dyDescent="0.2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4" hidden="1" thickBot="1" x14ac:dyDescent="0.2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4" hidden="1" thickBot="1" x14ac:dyDescent="0.2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4" hidden="1" thickBot="1" x14ac:dyDescent="0.2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4" hidden="1" thickBot="1" x14ac:dyDescent="0.2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4" hidden="1" thickBot="1" x14ac:dyDescent="0.2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4" hidden="1" thickBot="1" x14ac:dyDescent="0.2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4" hidden="1" thickBot="1" x14ac:dyDescent="0.2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4" hidden="1" thickBot="1" x14ac:dyDescent="0.2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4" hidden="1" thickBot="1" x14ac:dyDescent="0.2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4" hidden="1" thickBot="1" x14ac:dyDescent="0.2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4" hidden="1" thickBot="1" x14ac:dyDescent="0.2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4" hidden="1" thickBot="1" x14ac:dyDescent="0.2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4" hidden="1" thickBot="1" x14ac:dyDescent="0.2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4" hidden="1" thickBot="1" x14ac:dyDescent="0.2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4" hidden="1" thickBot="1" x14ac:dyDescent="0.2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4" hidden="1" thickBot="1" x14ac:dyDescent="0.2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4" hidden="1" thickBot="1" x14ac:dyDescent="0.2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4" hidden="1" thickBot="1" x14ac:dyDescent="0.2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4" hidden="1" thickBot="1" x14ac:dyDescent="0.2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4" hidden="1" thickBot="1" x14ac:dyDescent="0.2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4" hidden="1" thickBot="1" x14ac:dyDescent="0.2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5" thickTop="1" thickBot="1" x14ac:dyDescent="0.2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5909.5</v>
      </c>
      <c r="AE64" s="90">
        <f t="shared" si="4"/>
        <v>47589.790000000008</v>
      </c>
    </row>
    <row r="65" spans="1:30" s="97" customFormat="1" ht="30" customHeight="1" thickTop="1" x14ac:dyDescent="0.15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15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/>
    </row>
    <row r="67" spans="1:30" s="97" customFormat="1" ht="36" customHeight="1" x14ac:dyDescent="0.15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</row>
    <row r="68" spans="1:30" s="97" customFormat="1" ht="30" customHeight="1" x14ac:dyDescent="0.15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990</v>
      </c>
    </row>
    <row r="69" spans="1:30" s="97" customFormat="1" ht="12" customHeight="1" x14ac:dyDescent="0.15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</row>
    <row r="70" spans="1:30" s="97" customFormat="1" ht="154" x14ac:dyDescent="0.15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</row>
    <row r="71" spans="1:30" s="97" customFormat="1" ht="33" customHeight="1" x14ac:dyDescent="0.15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</row>
    <row r="72" spans="1:30" s="97" customFormat="1" ht="12" customHeight="1" x14ac:dyDescent="0.15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</row>
    <row r="73" spans="1:30" s="97" customFormat="1" ht="63.75" customHeight="1" x14ac:dyDescent="0.15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60"/>
    </row>
    <row r="74" spans="1:30" s="97" customFormat="1" ht="18" customHeight="1" x14ac:dyDescent="0.15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</row>
    <row r="75" spans="1:30" s="97" customFormat="1" ht="14.25" customHeight="1" x14ac:dyDescent="0.15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15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 t="s">
        <v>1046</v>
      </c>
    </row>
    <row r="77" spans="1:30" s="97" customFormat="1" ht="12.75" customHeight="1" x14ac:dyDescent="0.15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</row>
    <row r="78" spans="1:30" s="97" customFormat="1" ht="27" customHeight="1" x14ac:dyDescent="0.15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</row>
    <row r="79" spans="1:30" s="97" customFormat="1" ht="12" customHeight="1" x14ac:dyDescent="0.15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</row>
    <row r="80" spans="1:30" s="97" customFormat="1" ht="12" customHeight="1" x14ac:dyDescent="0.15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</row>
    <row r="81" spans="1:30" s="97" customFormat="1" ht="12" customHeight="1" x14ac:dyDescent="0.15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</row>
    <row r="82" spans="1:30" s="97" customFormat="1" ht="12" customHeight="1" x14ac:dyDescent="0.15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</row>
    <row r="83" spans="1:30" s="97" customFormat="1" ht="12" customHeight="1" x14ac:dyDescent="0.15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</row>
    <row r="84" spans="1:30" s="97" customFormat="1" ht="12" customHeight="1" x14ac:dyDescent="0.15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 t="s">
        <v>1070</v>
      </c>
    </row>
    <row r="85" spans="1:30" s="97" customFormat="1" ht="12" customHeight="1" x14ac:dyDescent="0.15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</row>
    <row r="86" spans="1:30" s="97" customFormat="1" ht="12" customHeight="1" x14ac:dyDescent="0.15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</row>
    <row r="87" spans="1:30" s="97" customFormat="1" ht="23.25" customHeight="1" x14ac:dyDescent="0.15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</row>
    <row r="88" spans="1:30" s="97" customFormat="1" ht="24.75" customHeight="1" x14ac:dyDescent="0.15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/>
    </row>
    <row r="89" spans="1:30" s="97" customFormat="1" ht="12" customHeight="1" x14ac:dyDescent="0.15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</row>
    <row r="90" spans="1:30" s="97" customFormat="1" ht="12" customHeight="1" x14ac:dyDescent="0.15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15">
      <c r="K91" s="61"/>
      <c r="N91" s="96"/>
      <c r="V91" s="109"/>
    </row>
    <row r="92" spans="1:30" x14ac:dyDescent="0.15">
      <c r="K92" s="61"/>
    </row>
    <row r="93" spans="1:30" x14ac:dyDescent="0.15">
      <c r="K93" s="61"/>
    </row>
    <row r="94" spans="1:30" x14ac:dyDescent="0.15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7"/>
  <sheetViews>
    <sheetView workbookViewId="0">
      <selection activeCell="J8" sqref="J8"/>
    </sheetView>
  </sheetViews>
  <sheetFormatPr baseColWidth="10" defaultColWidth="8.6640625" defaultRowHeight="13" x14ac:dyDescent="0.15"/>
  <cols>
    <col min="1" max="1" width="21.83203125" customWidth="1"/>
    <col min="2" max="2" width="14.33203125" customWidth="1"/>
    <col min="3" max="3" width="14.83203125" customWidth="1"/>
    <col min="4" max="4" width="14.1640625" customWidth="1"/>
    <col min="5" max="5" width="14.83203125" customWidth="1"/>
    <col min="6" max="6" width="14.6640625" customWidth="1"/>
    <col min="7" max="7" width="15.33203125" customWidth="1"/>
    <col min="8" max="8" width="12.1640625" customWidth="1"/>
    <col min="9" max="9" width="10.6640625" bestFit="1" customWidth="1"/>
  </cols>
  <sheetData>
    <row r="1" spans="1:26" s="119" customFormat="1" ht="13.5" customHeight="1" x14ac:dyDescent="0.2">
      <c r="B1" s="248" t="s">
        <v>296</v>
      </c>
      <c r="C1" s="252"/>
      <c r="D1" s="252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15">
      <c r="B2" s="251" t="s">
        <v>844</v>
      </c>
      <c r="C2" s="251"/>
      <c r="D2" s="251"/>
    </row>
    <row r="3" spans="1:26" ht="14" thickBot="1" x14ac:dyDescent="0.2"/>
    <row r="4" spans="1:26" s="117" customFormat="1" ht="17" thickBot="1" x14ac:dyDescent="0.2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6" x14ac:dyDescent="0.2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>
        <v>1553.34</v>
      </c>
    </row>
    <row r="6" spans="1:26" s="5" customFormat="1" ht="16" x14ac:dyDescent="0.2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>
        <f>2421.1+1250</f>
        <v>3671.1</v>
      </c>
    </row>
    <row r="7" spans="1:26" s="5" customFormat="1" ht="16" x14ac:dyDescent="0.2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>
        <v>0</v>
      </c>
    </row>
    <row r="8" spans="1:26" s="5" customFormat="1" ht="16" x14ac:dyDescent="0.2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>
        <v>3835.4</v>
      </c>
    </row>
    <row r="9" spans="1:26" s="5" customFormat="1" ht="16" x14ac:dyDescent="0.2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>
        <v>0</v>
      </c>
    </row>
    <row r="10" spans="1:26" s="5" customFormat="1" ht="16" x14ac:dyDescent="0.2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>
        <v>0</v>
      </c>
    </row>
    <row r="11" spans="1:26" s="5" customFormat="1" ht="16" x14ac:dyDescent="0.2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>
        <v>0</v>
      </c>
    </row>
    <row r="12" spans="1:26" s="5" customFormat="1" ht="16" x14ac:dyDescent="0.2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>
        <v>0</v>
      </c>
    </row>
    <row r="13" spans="1:26" s="5" customFormat="1" ht="16" x14ac:dyDescent="0.2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>
        <v>0</v>
      </c>
    </row>
    <row r="14" spans="1:26" s="5" customFormat="1" ht="16" x14ac:dyDescent="0.2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>
        <v>0</v>
      </c>
    </row>
    <row r="15" spans="1:26" s="5" customFormat="1" ht="16" x14ac:dyDescent="0.2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>
        <v>2499.7199999999998</v>
      </c>
    </row>
    <row r="16" spans="1:26" s="5" customFormat="1" ht="16" x14ac:dyDescent="0.2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>
        <v>410.39</v>
      </c>
    </row>
    <row r="17" spans="1:9" s="5" customFormat="1" ht="16" x14ac:dyDescent="0.2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>
        <v>0</v>
      </c>
    </row>
    <row r="18" spans="1:9" s="5" customFormat="1" ht="16" x14ac:dyDescent="0.2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>
        <v>479.43</v>
      </c>
    </row>
    <row r="19" spans="1:9" s="5" customFormat="1" ht="16" x14ac:dyDescent="0.2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>
        <v>0</v>
      </c>
    </row>
    <row r="20" spans="1:9" s="5" customFormat="1" ht="16" x14ac:dyDescent="0.2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>
        <v>0</v>
      </c>
    </row>
    <row r="21" spans="1:9" s="5" customFormat="1" ht="16" x14ac:dyDescent="0.2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>
        <v>0</v>
      </c>
    </row>
    <row r="22" spans="1:9" s="5" customFormat="1" ht="16" x14ac:dyDescent="0.2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>
        <v>0</v>
      </c>
    </row>
    <row r="23" spans="1:9" s="5" customFormat="1" ht="16" x14ac:dyDescent="0.2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>
        <v>2205.36</v>
      </c>
    </row>
    <row r="24" spans="1:9" s="5" customFormat="1" ht="16" x14ac:dyDescent="0.2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>
        <v>1011.59</v>
      </c>
    </row>
    <row r="25" spans="1:9" s="5" customFormat="1" ht="16" x14ac:dyDescent="0.2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>
        <v>0</v>
      </c>
    </row>
    <row r="26" spans="1:9" s="5" customFormat="1" ht="16" x14ac:dyDescent="0.2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>
        <v>110.27</v>
      </c>
    </row>
    <row r="27" spans="1:9" s="5" customFormat="1" ht="16" x14ac:dyDescent="0.2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>
        <v>0</v>
      </c>
    </row>
    <row r="28" spans="1:9" s="5" customFormat="1" ht="16" x14ac:dyDescent="0.2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>
        <v>225.81</v>
      </c>
    </row>
    <row r="29" spans="1:9" s="5" customFormat="1" ht="17" thickBot="1" x14ac:dyDescent="0.25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>
        <v>0</v>
      </c>
    </row>
    <row r="30" spans="1:9" ht="17" thickBot="1" x14ac:dyDescent="0.2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>SUM(H5:H29)</f>
        <v>12344.110000000002</v>
      </c>
      <c r="I30" s="118">
        <f>SUM(I5:I29)</f>
        <v>16002.41</v>
      </c>
    </row>
    <row r="31" spans="1:9" ht="16" x14ac:dyDescent="0.2">
      <c r="A31" s="5"/>
    </row>
    <row r="33" spans="6:7" x14ac:dyDescent="0.15">
      <c r="F33" s="107"/>
    </row>
    <row r="35" spans="6:7" x14ac:dyDescent="0.15">
      <c r="F35" s="191"/>
    </row>
    <row r="37" spans="6:7" x14ac:dyDescent="0.15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5"/>
  <sheetViews>
    <sheetView topLeftCell="A521" workbookViewId="0">
      <selection activeCell="D561" sqref="D561"/>
    </sheetView>
  </sheetViews>
  <sheetFormatPr baseColWidth="10" defaultColWidth="11.5" defaultRowHeight="13" x14ac:dyDescent="0.15"/>
  <cols>
    <col min="1" max="1" width="7.33203125" customWidth="1"/>
    <col min="2" max="2" width="10.1640625" customWidth="1"/>
    <col min="3" max="3" width="22.1640625" customWidth="1"/>
    <col min="4" max="4" width="11.5" customWidth="1"/>
    <col min="5" max="5" width="43.33203125" customWidth="1"/>
    <col min="6" max="6" width="19.1640625" customWidth="1"/>
    <col min="7" max="7" width="13.5" customWidth="1"/>
  </cols>
  <sheetData>
    <row r="1" spans="1:7" ht="18" x14ac:dyDescent="0.2">
      <c r="A1" s="154" t="s">
        <v>335</v>
      </c>
    </row>
    <row r="2" spans="1:7" x14ac:dyDescent="0.15">
      <c r="B2" s="148"/>
      <c r="D2" s="149"/>
      <c r="F2" s="152" t="s">
        <v>394</v>
      </c>
      <c r="G2" s="152" t="s">
        <v>394</v>
      </c>
    </row>
    <row r="3" spans="1:7" x14ac:dyDescent="0.15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15">
      <c r="B4" s="148"/>
      <c r="D4" s="149"/>
      <c r="G4" s="147"/>
    </row>
    <row r="5" spans="1:7" x14ac:dyDescent="0.15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15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15">
      <c r="A7">
        <v>2155</v>
      </c>
      <c r="B7" s="148"/>
      <c r="C7" t="s">
        <v>356</v>
      </c>
      <c r="D7" s="155">
        <v>0</v>
      </c>
      <c r="G7" s="147"/>
    </row>
    <row r="8" spans="1:7" x14ac:dyDescent="0.15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15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15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15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15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15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15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15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15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15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15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15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15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15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15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15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15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15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15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15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15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15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15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15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15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15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15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15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15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15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15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15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15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15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15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15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15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15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15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15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15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15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15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15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15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15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15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15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15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15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15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15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15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15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15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15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15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15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15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15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15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15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15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15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15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15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15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15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15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15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15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15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15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15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15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15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15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15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15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15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15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15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15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15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15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15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15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15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15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15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15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15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15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15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15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15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15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15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15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15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15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15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15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15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15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15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15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15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15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15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15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15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15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15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15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15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15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15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15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15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15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15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15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15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15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15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15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15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15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15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15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15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15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15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15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15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15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15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15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15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15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15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15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15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15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15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15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15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15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15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15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15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15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15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15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15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15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15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15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15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15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15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15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15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15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15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15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15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15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15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15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15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15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15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15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15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15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15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15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15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15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15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15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15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15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15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15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15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15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15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15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15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15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15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15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15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15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15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15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15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15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15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15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15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15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15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15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15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15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15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15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15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15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15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15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15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15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15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15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15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15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15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15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15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15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15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15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15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15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15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15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15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15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15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15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15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15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15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15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15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15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15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15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15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15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15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15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15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15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15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15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15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15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15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15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15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15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15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15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15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15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15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15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15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15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15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15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15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15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15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15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15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15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15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15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15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15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15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15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15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15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15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15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15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15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15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15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15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15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15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15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15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15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15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15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15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15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15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15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15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15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15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15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15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15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15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15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15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15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15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15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15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15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15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15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15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15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15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15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15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15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15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15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15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15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15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15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15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15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15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15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15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15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15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15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15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15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15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15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15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15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15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15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15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15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15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15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15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15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15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15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15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15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15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15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15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15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15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15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15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15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15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15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15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15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15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15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15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15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15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15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15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15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15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15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15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15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15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15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15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15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15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15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15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15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15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15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15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15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15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15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15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15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15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15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15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15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15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15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15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15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15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15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15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15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15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15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15">
      <c r="A415" s="157">
        <f t="shared" ref="A415:A422" si="1">+A414+1</f>
        <v>5374</v>
      </c>
      <c r="B415" s="148">
        <v>42675</v>
      </c>
      <c r="C415" t="s">
        <v>773</v>
      </c>
      <c r="D415" s="193">
        <v>352.08</v>
      </c>
      <c r="E415" t="s">
        <v>896</v>
      </c>
      <c r="F415" t="s">
        <v>386</v>
      </c>
      <c r="G415" s="212"/>
    </row>
    <row r="416" spans="1:7" x14ac:dyDescent="0.15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15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15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15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15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15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15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15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15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15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15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15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15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15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15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15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15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15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15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15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15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15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15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15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15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15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15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15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15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15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15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15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15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15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15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15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15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15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15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15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15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15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15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15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15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15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15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15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15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15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15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15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15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15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15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15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15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15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15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15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15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15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15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15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15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15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15">
      <c r="A482" s="157">
        <v>5440</v>
      </c>
      <c r="B482" s="148">
        <v>42975</v>
      </c>
      <c r="C482" t="s">
        <v>940</v>
      </c>
      <c r="D482" s="193">
        <v>30</v>
      </c>
      <c r="E482" t="s">
        <v>575</v>
      </c>
      <c r="G482" s="226" t="s">
        <v>385</v>
      </c>
    </row>
    <row r="483" spans="1:7" x14ac:dyDescent="0.15">
      <c r="A483" s="157">
        <v>5441</v>
      </c>
      <c r="B483" s="148">
        <v>42975</v>
      </c>
      <c r="C483" t="s">
        <v>941</v>
      </c>
      <c r="D483" s="193">
        <v>30</v>
      </c>
      <c r="E483" t="s">
        <v>575</v>
      </c>
      <c r="G483" s="226" t="s">
        <v>385</v>
      </c>
    </row>
    <row r="484" spans="1:7" x14ac:dyDescent="0.15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15">
      <c r="A485" s="157">
        <v>5443</v>
      </c>
      <c r="B485" s="148">
        <v>42975</v>
      </c>
      <c r="C485" t="s">
        <v>942</v>
      </c>
      <c r="D485" s="193">
        <v>30</v>
      </c>
      <c r="E485" t="s">
        <v>575</v>
      </c>
      <c r="G485" s="226" t="s">
        <v>385</v>
      </c>
    </row>
    <row r="486" spans="1:7" x14ac:dyDescent="0.15">
      <c r="A486" s="157">
        <v>5444</v>
      </c>
      <c r="B486" s="148">
        <v>42975</v>
      </c>
      <c r="C486" t="s">
        <v>943</v>
      </c>
      <c r="D486" s="193">
        <v>30</v>
      </c>
      <c r="E486" t="s">
        <v>575</v>
      </c>
      <c r="G486" s="226" t="s">
        <v>385</v>
      </c>
    </row>
    <row r="487" spans="1:7" x14ac:dyDescent="0.15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15">
      <c r="A488" s="157">
        <v>5446</v>
      </c>
      <c r="B488" s="148">
        <v>42975</v>
      </c>
      <c r="C488" t="s">
        <v>944</v>
      </c>
      <c r="D488" s="193">
        <v>30</v>
      </c>
      <c r="E488" t="s">
        <v>575</v>
      </c>
      <c r="G488" s="226" t="s">
        <v>385</v>
      </c>
    </row>
    <row r="489" spans="1:7" x14ac:dyDescent="0.15">
      <c r="A489" s="157">
        <v>5447</v>
      </c>
      <c r="B489" s="148">
        <v>42975</v>
      </c>
      <c r="C489" t="s">
        <v>945</v>
      </c>
      <c r="D489" s="193">
        <v>30</v>
      </c>
      <c r="E489" t="s">
        <v>575</v>
      </c>
      <c r="G489" s="226" t="s">
        <v>385</v>
      </c>
    </row>
    <row r="490" spans="1:7" x14ac:dyDescent="0.15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15">
      <c r="A491" s="157">
        <v>5449</v>
      </c>
      <c r="B491" s="148">
        <v>42993</v>
      </c>
      <c r="C491" t="s">
        <v>947</v>
      </c>
      <c r="D491" s="193">
        <v>49.35</v>
      </c>
      <c r="E491" t="s">
        <v>949</v>
      </c>
      <c r="F491" t="s">
        <v>386</v>
      </c>
      <c r="G491" s="227"/>
    </row>
    <row r="492" spans="1:7" x14ac:dyDescent="0.15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15">
      <c r="A493" s="157">
        <v>5451</v>
      </c>
      <c r="B493" s="148">
        <v>42993</v>
      </c>
      <c r="C493" t="s">
        <v>808</v>
      </c>
      <c r="D493" s="193">
        <v>671.47</v>
      </c>
      <c r="E493" t="s">
        <v>950</v>
      </c>
      <c r="F493" t="s">
        <v>382</v>
      </c>
      <c r="G493" s="227"/>
    </row>
    <row r="494" spans="1:7" x14ac:dyDescent="0.15">
      <c r="A494" s="157">
        <v>5452</v>
      </c>
      <c r="B494" s="148">
        <v>42993</v>
      </c>
      <c r="C494" t="s">
        <v>649</v>
      </c>
      <c r="D494" s="193">
        <v>315.01</v>
      </c>
      <c r="E494" t="s">
        <v>951</v>
      </c>
      <c r="F494" t="s">
        <v>588</v>
      </c>
      <c r="G494" s="227"/>
    </row>
    <row r="495" spans="1:7" x14ac:dyDescent="0.15">
      <c r="A495" s="157">
        <v>5453</v>
      </c>
      <c r="B495" s="148">
        <v>42998</v>
      </c>
      <c r="C495" t="s">
        <v>338</v>
      </c>
      <c r="D495" s="193">
        <v>389.2</v>
      </c>
      <c r="E495" t="s">
        <v>952</v>
      </c>
      <c r="F495" t="s">
        <v>382</v>
      </c>
      <c r="G495" s="227"/>
    </row>
    <row r="496" spans="1:7" x14ac:dyDescent="0.15">
      <c r="A496" s="157">
        <v>5454</v>
      </c>
      <c r="B496" s="148">
        <v>42998</v>
      </c>
      <c r="C496" t="s">
        <v>948</v>
      </c>
      <c r="D496" s="193">
        <v>85.25</v>
      </c>
      <c r="E496" t="s">
        <v>953</v>
      </c>
      <c r="F496" t="s">
        <v>382</v>
      </c>
      <c r="G496" s="227"/>
    </row>
    <row r="497" spans="1:7" x14ac:dyDescent="0.15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15">
      <c r="A498" s="157">
        <v>5456</v>
      </c>
      <c r="B498" s="148">
        <v>43010</v>
      </c>
      <c r="C498" t="s">
        <v>899</v>
      </c>
      <c r="D498" s="193">
        <v>1000</v>
      </c>
      <c r="E498" t="s">
        <v>956</v>
      </c>
      <c r="G498" s="227" t="s">
        <v>385</v>
      </c>
    </row>
    <row r="499" spans="1:7" x14ac:dyDescent="0.15">
      <c r="A499" s="157">
        <v>5457</v>
      </c>
      <c r="B499" s="148">
        <v>43012</v>
      </c>
      <c r="C499" t="s">
        <v>338</v>
      </c>
      <c r="D499" s="193">
        <v>525</v>
      </c>
      <c r="E499" t="s">
        <v>957</v>
      </c>
      <c r="F499" t="s">
        <v>382</v>
      </c>
      <c r="G499" s="227"/>
    </row>
    <row r="500" spans="1:7" x14ac:dyDescent="0.15">
      <c r="A500" s="157">
        <v>5458</v>
      </c>
      <c r="B500" s="148">
        <v>43025</v>
      </c>
      <c r="C500" t="s">
        <v>649</v>
      </c>
      <c r="D500" s="193">
        <v>173.51</v>
      </c>
      <c r="E500" t="s">
        <v>951</v>
      </c>
      <c r="F500" t="s">
        <v>588</v>
      </c>
      <c r="G500" s="228"/>
    </row>
    <row r="501" spans="1:7" x14ac:dyDescent="0.15">
      <c r="A501" s="157">
        <v>5459</v>
      </c>
      <c r="B501" s="148">
        <v>43025</v>
      </c>
      <c r="C501" t="s">
        <v>955</v>
      </c>
      <c r="D501" s="193">
        <v>465.62</v>
      </c>
      <c r="E501" t="s">
        <v>958</v>
      </c>
      <c r="F501" t="s">
        <v>588</v>
      </c>
      <c r="G501" s="228"/>
    </row>
    <row r="502" spans="1:7" x14ac:dyDescent="0.15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959</v>
      </c>
      <c r="F502" t="s">
        <v>381</v>
      </c>
      <c r="G502" s="228"/>
    </row>
    <row r="503" spans="1:7" x14ac:dyDescent="0.15">
      <c r="A503" s="157" t="s">
        <v>938</v>
      </c>
      <c r="B503" s="148">
        <v>43055</v>
      </c>
      <c r="C503" t="s">
        <v>918</v>
      </c>
      <c r="D503" s="193">
        <v>4587.32</v>
      </c>
      <c r="E503" t="s">
        <v>960</v>
      </c>
      <c r="F503" t="s">
        <v>828</v>
      </c>
      <c r="G503" s="229"/>
    </row>
    <row r="504" spans="1:7" x14ac:dyDescent="0.15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15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961</v>
      </c>
      <c r="F505" t="s">
        <v>384</v>
      </c>
      <c r="G505" s="228"/>
    </row>
    <row r="506" spans="1:7" x14ac:dyDescent="0.15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962</v>
      </c>
      <c r="F506" t="s">
        <v>588</v>
      </c>
      <c r="G506" s="228"/>
    </row>
    <row r="507" spans="1:7" x14ac:dyDescent="0.15">
      <c r="A507" s="157">
        <v>5464</v>
      </c>
      <c r="B507" s="148">
        <v>43058</v>
      </c>
      <c r="C507" t="s">
        <v>963</v>
      </c>
      <c r="D507" s="193">
        <v>100.38</v>
      </c>
      <c r="E507" t="s">
        <v>417</v>
      </c>
      <c r="F507" t="s">
        <v>5</v>
      </c>
      <c r="G507" s="228"/>
    </row>
    <row r="508" spans="1:7" x14ac:dyDescent="0.15">
      <c r="A508" s="157">
        <v>5465</v>
      </c>
      <c r="B508" s="148">
        <v>43058</v>
      </c>
      <c r="C508" t="s">
        <v>964</v>
      </c>
      <c r="D508" s="193">
        <v>346.68</v>
      </c>
      <c r="E508" t="s">
        <v>417</v>
      </c>
      <c r="F508" t="s">
        <v>8</v>
      </c>
      <c r="G508" s="228"/>
    </row>
    <row r="509" spans="1:7" x14ac:dyDescent="0.15">
      <c r="A509" s="157">
        <v>5466</v>
      </c>
      <c r="B509" s="148">
        <v>43058</v>
      </c>
      <c r="C509" t="s">
        <v>965</v>
      </c>
      <c r="D509" s="230" t="s">
        <v>965</v>
      </c>
      <c r="G509" s="228"/>
    </row>
    <row r="510" spans="1:7" x14ac:dyDescent="0.15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966</v>
      </c>
      <c r="G510" s="228"/>
    </row>
    <row r="511" spans="1:7" x14ac:dyDescent="0.15">
      <c r="A511" s="157">
        <v>5468</v>
      </c>
      <c r="B511" s="148">
        <v>43058</v>
      </c>
      <c r="C511" t="s">
        <v>965</v>
      </c>
      <c r="D511" s="233" t="s">
        <v>965</v>
      </c>
      <c r="E511" t="s">
        <v>961</v>
      </c>
      <c r="F511" t="s">
        <v>967</v>
      </c>
      <c r="G511" s="211"/>
    </row>
    <row r="512" spans="1:7" x14ac:dyDescent="0.15">
      <c r="A512" s="157">
        <v>5469</v>
      </c>
      <c r="B512" s="148">
        <v>43060</v>
      </c>
      <c r="C512" t="s">
        <v>944</v>
      </c>
      <c r="D512" s="193">
        <v>117.58</v>
      </c>
      <c r="E512" t="s">
        <v>952</v>
      </c>
      <c r="F512" t="s">
        <v>382</v>
      </c>
      <c r="G512" s="229"/>
    </row>
    <row r="513" spans="1:7" x14ac:dyDescent="0.15">
      <c r="A513" s="157">
        <v>5470</v>
      </c>
      <c r="B513" s="148">
        <v>43067</v>
      </c>
      <c r="C513" t="s">
        <v>941</v>
      </c>
      <c r="D513" s="193">
        <v>219.8</v>
      </c>
      <c r="E513" t="s">
        <v>968</v>
      </c>
      <c r="F513" t="s">
        <v>8</v>
      </c>
      <c r="G513" s="229"/>
    </row>
    <row r="514" spans="1:7" x14ac:dyDescent="0.15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969</v>
      </c>
      <c r="G514" s="229"/>
    </row>
    <row r="515" spans="1:7" x14ac:dyDescent="0.15">
      <c r="A515" s="157">
        <v>5472</v>
      </c>
      <c r="B515" s="148">
        <v>43079</v>
      </c>
      <c r="C515" t="s">
        <v>970</v>
      </c>
      <c r="D515" s="179">
        <v>42.88</v>
      </c>
      <c r="E515" t="s">
        <v>971</v>
      </c>
      <c r="F515" t="s">
        <v>8</v>
      </c>
      <c r="G515" s="229"/>
    </row>
    <row r="516" spans="1:7" x14ac:dyDescent="0.15">
      <c r="A516" s="157">
        <v>5473</v>
      </c>
      <c r="B516" s="148">
        <v>43079</v>
      </c>
      <c r="C516" t="s">
        <v>972</v>
      </c>
      <c r="D516" s="193">
        <v>286.27</v>
      </c>
      <c r="E516" t="s">
        <v>974</v>
      </c>
      <c r="F516" t="s">
        <v>973</v>
      </c>
      <c r="G516" s="229"/>
    </row>
    <row r="517" spans="1:7" x14ac:dyDescent="0.15">
      <c r="A517" s="157">
        <v>5474</v>
      </c>
      <c r="B517" s="148">
        <v>43079</v>
      </c>
      <c r="C517" t="s">
        <v>975</v>
      </c>
      <c r="D517" s="193">
        <v>102.17</v>
      </c>
      <c r="E517" t="s">
        <v>976</v>
      </c>
      <c r="F517" t="s">
        <v>8</v>
      </c>
      <c r="G517" s="229"/>
    </row>
    <row r="518" spans="1:7" x14ac:dyDescent="0.15">
      <c r="A518" s="157">
        <v>5475</v>
      </c>
      <c r="B518" s="148">
        <v>43080</v>
      </c>
      <c r="C518" t="s">
        <v>977</v>
      </c>
      <c r="D518" s="193">
        <v>550</v>
      </c>
      <c r="E518" t="s">
        <v>978</v>
      </c>
      <c r="F518" t="s">
        <v>979</v>
      </c>
      <c r="G518" s="229"/>
    </row>
    <row r="519" spans="1:7" x14ac:dyDescent="0.15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15">
      <c r="A520" s="157">
        <v>5477</v>
      </c>
      <c r="B520" s="148">
        <v>43081</v>
      </c>
      <c r="C520" t="s">
        <v>980</v>
      </c>
      <c r="D520" s="193">
        <v>1730</v>
      </c>
      <c r="E520" t="s">
        <v>988</v>
      </c>
      <c r="F520" t="s">
        <v>981</v>
      </c>
      <c r="G520" s="229" t="s">
        <v>385</v>
      </c>
    </row>
    <row r="521" spans="1:7" x14ac:dyDescent="0.15">
      <c r="A521" s="157">
        <v>5478</v>
      </c>
      <c r="B521" s="148">
        <v>43081</v>
      </c>
      <c r="C521" t="s">
        <v>980</v>
      </c>
      <c r="D521" s="193">
        <v>1730</v>
      </c>
      <c r="E521" t="s">
        <v>989</v>
      </c>
      <c r="F521" t="s">
        <v>835</v>
      </c>
      <c r="G521" s="229"/>
    </row>
    <row r="522" spans="1:7" x14ac:dyDescent="0.15">
      <c r="A522" s="157">
        <v>5479</v>
      </c>
      <c r="B522" s="148">
        <v>43088</v>
      </c>
      <c r="C522" t="s">
        <v>350</v>
      </c>
      <c r="D522" s="193">
        <v>1200</v>
      </c>
      <c r="E522" t="s">
        <v>982</v>
      </c>
      <c r="F522" t="s">
        <v>552</v>
      </c>
      <c r="G522" s="229"/>
    </row>
    <row r="523" spans="1:7" x14ac:dyDescent="0.15">
      <c r="A523" s="157">
        <v>5480</v>
      </c>
      <c r="B523" s="148">
        <v>43088</v>
      </c>
      <c r="C523" t="s">
        <v>649</v>
      </c>
      <c r="D523" s="193">
        <v>68</v>
      </c>
      <c r="E523" t="s">
        <v>983</v>
      </c>
      <c r="F523" t="s">
        <v>588</v>
      </c>
      <c r="G523" s="229"/>
    </row>
    <row r="524" spans="1:7" x14ac:dyDescent="0.15">
      <c r="A524" s="157">
        <v>5481</v>
      </c>
      <c r="B524" s="148">
        <v>43088</v>
      </c>
      <c r="C524" t="s">
        <v>984</v>
      </c>
      <c r="D524" s="193">
        <v>36</v>
      </c>
      <c r="E524" t="s">
        <v>983</v>
      </c>
      <c r="F524" t="s">
        <v>588</v>
      </c>
      <c r="G524" s="232"/>
    </row>
    <row r="525" spans="1:7" x14ac:dyDescent="0.15">
      <c r="A525" s="157">
        <v>5482</v>
      </c>
      <c r="B525" s="148">
        <v>43090</v>
      </c>
      <c r="C525" t="s">
        <v>659</v>
      </c>
      <c r="D525" s="193">
        <v>402.72</v>
      </c>
      <c r="E525" t="s">
        <v>961</v>
      </c>
      <c r="F525" t="s">
        <v>386</v>
      </c>
      <c r="G525" s="232"/>
    </row>
    <row r="526" spans="1:7" x14ac:dyDescent="0.15">
      <c r="A526" s="157">
        <v>5483</v>
      </c>
      <c r="B526" s="148">
        <v>43091</v>
      </c>
      <c r="C526" t="s">
        <v>985</v>
      </c>
      <c r="D526" s="193">
        <v>1000</v>
      </c>
      <c r="E526" t="s">
        <v>986</v>
      </c>
      <c r="F526" t="s">
        <v>552</v>
      </c>
      <c r="G526" s="232"/>
    </row>
    <row r="527" spans="1:7" x14ac:dyDescent="0.15">
      <c r="A527" s="157">
        <v>5484</v>
      </c>
      <c r="B527" s="148">
        <v>43091</v>
      </c>
      <c r="C527" t="s">
        <v>987</v>
      </c>
      <c r="D527" s="233" t="s">
        <v>965</v>
      </c>
      <c r="E527" t="s">
        <v>986</v>
      </c>
      <c r="F527" t="s">
        <v>552</v>
      </c>
      <c r="G527" s="232"/>
    </row>
    <row r="528" spans="1:7" x14ac:dyDescent="0.15">
      <c r="A528" s="157">
        <v>5485</v>
      </c>
      <c r="B528" s="148">
        <v>43105</v>
      </c>
      <c r="C528" t="s">
        <v>991</v>
      </c>
      <c r="D528" s="193">
        <v>150</v>
      </c>
      <c r="E528" t="s">
        <v>992</v>
      </c>
      <c r="F528" t="s">
        <v>552</v>
      </c>
      <c r="G528" s="232"/>
    </row>
    <row r="529" spans="1:7" x14ac:dyDescent="0.15">
      <c r="A529" s="157">
        <v>5486</v>
      </c>
      <c r="B529" s="148">
        <v>43108</v>
      </c>
      <c r="C529" t="s">
        <v>993</v>
      </c>
      <c r="D529" s="193">
        <v>239.9</v>
      </c>
      <c r="E529" t="s">
        <v>994</v>
      </c>
      <c r="F529" t="s">
        <v>552</v>
      </c>
      <c r="G529" s="232"/>
    </row>
    <row r="530" spans="1:7" x14ac:dyDescent="0.15">
      <c r="A530" s="157">
        <v>5487</v>
      </c>
      <c r="B530" s="148">
        <v>43109</v>
      </c>
      <c r="C530" t="s">
        <v>492</v>
      </c>
      <c r="D530" s="193">
        <v>1999</v>
      </c>
      <c r="E530" t="s">
        <v>996</v>
      </c>
      <c r="F530" t="s">
        <v>995</v>
      </c>
      <c r="G530" s="232"/>
    </row>
    <row r="531" spans="1:7" x14ac:dyDescent="0.15">
      <c r="A531" s="157">
        <v>5488</v>
      </c>
      <c r="B531" s="148">
        <v>43109</v>
      </c>
      <c r="C531" t="s">
        <v>997</v>
      </c>
      <c r="D531" s="193">
        <v>115.8</v>
      </c>
      <c r="E531" t="s">
        <v>998</v>
      </c>
      <c r="F531" t="s">
        <v>456</v>
      </c>
      <c r="G531" s="236"/>
    </row>
    <row r="532" spans="1:7" x14ac:dyDescent="0.15">
      <c r="A532" s="157">
        <v>5489</v>
      </c>
      <c r="B532" s="148">
        <v>43109</v>
      </c>
      <c r="C532" t="s">
        <v>993</v>
      </c>
      <c r="D532" s="193">
        <v>49</v>
      </c>
      <c r="E532" t="s">
        <v>999</v>
      </c>
      <c r="G532" s="236" t="s">
        <v>385</v>
      </c>
    </row>
    <row r="533" spans="1:7" x14ac:dyDescent="0.15">
      <c r="A533" s="157">
        <v>5490</v>
      </c>
      <c r="B533" s="148">
        <v>43110</v>
      </c>
      <c r="C533" t="s">
        <v>1000</v>
      </c>
      <c r="D533" s="193">
        <v>379.59</v>
      </c>
      <c r="E533" t="s">
        <v>1001</v>
      </c>
      <c r="F533" t="s">
        <v>835</v>
      </c>
      <c r="G533" s="237"/>
    </row>
    <row r="534" spans="1:7" x14ac:dyDescent="0.15">
      <c r="A534" s="157">
        <v>5491</v>
      </c>
      <c r="B534" s="148">
        <v>43111</v>
      </c>
      <c r="C534" t="s">
        <v>1002</v>
      </c>
      <c r="D534" s="193">
        <v>68.5</v>
      </c>
      <c r="E534" t="s">
        <v>1003</v>
      </c>
      <c r="F534" t="s">
        <v>8</v>
      </c>
      <c r="G534" s="237"/>
    </row>
    <row r="535" spans="1:7" x14ac:dyDescent="0.15">
      <c r="A535" s="157">
        <v>5492</v>
      </c>
      <c r="B535" s="148">
        <v>43111</v>
      </c>
      <c r="C535" t="s">
        <v>622</v>
      </c>
      <c r="D535" s="193">
        <v>800</v>
      </c>
      <c r="E535" t="s">
        <v>1004</v>
      </c>
      <c r="F535" t="s">
        <v>384</v>
      </c>
      <c r="G535" s="237"/>
    </row>
    <row r="536" spans="1:7" x14ac:dyDescent="0.15">
      <c r="A536" s="157">
        <v>5493</v>
      </c>
      <c r="B536" s="148">
        <v>43111</v>
      </c>
      <c r="C536" t="s">
        <v>908</v>
      </c>
      <c r="D536" s="193">
        <v>870</v>
      </c>
      <c r="E536" t="s">
        <v>1005</v>
      </c>
      <c r="F536" t="s">
        <v>384</v>
      </c>
      <c r="G536" s="237"/>
    </row>
    <row r="537" spans="1:7" x14ac:dyDescent="0.15">
      <c r="A537" s="157">
        <v>5494</v>
      </c>
      <c r="B537" s="148">
        <v>43115</v>
      </c>
      <c r="C537" t="s">
        <v>1002</v>
      </c>
      <c r="D537" s="193">
        <v>1248.82</v>
      </c>
      <c r="E537" t="s">
        <v>1006</v>
      </c>
      <c r="F537" t="s">
        <v>5</v>
      </c>
      <c r="G537" s="237"/>
    </row>
    <row r="538" spans="1:7" x14ac:dyDescent="0.15">
      <c r="A538" s="157">
        <v>5495</v>
      </c>
      <c r="B538" s="148">
        <v>43131</v>
      </c>
      <c r="C538" t="s">
        <v>1007</v>
      </c>
      <c r="D538" s="193">
        <v>1223.75</v>
      </c>
      <c r="E538" t="s">
        <v>1008</v>
      </c>
      <c r="F538" t="s">
        <v>507</v>
      </c>
      <c r="G538" s="237"/>
    </row>
    <row r="539" spans="1:7" x14ac:dyDescent="0.15">
      <c r="A539" s="157">
        <v>5496</v>
      </c>
      <c r="B539" s="148">
        <v>43134</v>
      </c>
      <c r="C539" t="s">
        <v>1027</v>
      </c>
      <c r="D539" s="193">
        <v>1000</v>
      </c>
      <c r="E539" t="s">
        <v>1028</v>
      </c>
      <c r="G539" s="238" t="s">
        <v>385</v>
      </c>
    </row>
    <row r="540" spans="1:7" x14ac:dyDescent="0.15">
      <c r="A540" s="157">
        <v>5497</v>
      </c>
      <c r="B540" s="148">
        <v>43134</v>
      </c>
      <c r="C540" t="s">
        <v>1029</v>
      </c>
      <c r="D540" s="193">
        <v>6.92</v>
      </c>
      <c r="E540" t="s">
        <v>1030</v>
      </c>
      <c r="F540" t="s">
        <v>8</v>
      </c>
      <c r="G540" s="238"/>
    </row>
    <row r="541" spans="1:7" x14ac:dyDescent="0.15">
      <c r="A541" s="157">
        <v>5498</v>
      </c>
      <c r="B541" s="148">
        <v>43146</v>
      </c>
      <c r="C541" t="s">
        <v>1031</v>
      </c>
      <c r="D541" s="193">
        <v>1000</v>
      </c>
      <c r="E541" t="s">
        <v>1032</v>
      </c>
      <c r="F541" t="s">
        <v>552</v>
      </c>
      <c r="G541" s="236"/>
    </row>
    <row r="542" spans="1:7" x14ac:dyDescent="0.15">
      <c r="A542" s="157">
        <v>5499</v>
      </c>
      <c r="B542" s="148">
        <v>43146</v>
      </c>
      <c r="C542" t="s">
        <v>944</v>
      </c>
      <c r="D542" s="193">
        <v>695</v>
      </c>
      <c r="E542" t="s">
        <v>459</v>
      </c>
      <c r="F542" t="s">
        <v>382</v>
      </c>
      <c r="G542" s="238"/>
    </row>
    <row r="543" spans="1:7" x14ac:dyDescent="0.15">
      <c r="A543" s="157">
        <v>5500</v>
      </c>
      <c r="B543" s="148">
        <v>43148</v>
      </c>
      <c r="C543" t="s">
        <v>1033</v>
      </c>
      <c r="D543" s="193">
        <v>2099.5</v>
      </c>
      <c r="E543" t="s">
        <v>1034</v>
      </c>
      <c r="F543" t="s">
        <v>981</v>
      </c>
      <c r="G543" s="238" t="s">
        <v>385</v>
      </c>
    </row>
    <row r="544" spans="1:7" x14ac:dyDescent="0.15">
      <c r="A544" s="157">
        <v>5501</v>
      </c>
      <c r="B544" s="148">
        <v>43158</v>
      </c>
      <c r="C544" t="s">
        <v>802</v>
      </c>
      <c r="D544" s="193">
        <v>1819.3</v>
      </c>
      <c r="E544" t="s">
        <v>1035</v>
      </c>
      <c r="G544" s="238" t="s">
        <v>385</v>
      </c>
    </row>
    <row r="545" spans="1:7" x14ac:dyDescent="0.15">
      <c r="A545" s="157">
        <v>5502</v>
      </c>
      <c r="B545" s="148">
        <v>43164</v>
      </c>
      <c r="C545" t="s">
        <v>1047</v>
      </c>
      <c r="D545" s="193">
        <v>844.42</v>
      </c>
      <c r="E545" t="s">
        <v>1048</v>
      </c>
      <c r="F545" t="s">
        <v>1049</v>
      </c>
      <c r="G545" s="238" t="s">
        <v>385</v>
      </c>
    </row>
    <row r="546" spans="1:7" x14ac:dyDescent="0.15">
      <c r="A546" s="157">
        <v>5503</v>
      </c>
      <c r="B546" s="148">
        <v>43176</v>
      </c>
      <c r="C546" t="s">
        <v>474</v>
      </c>
      <c r="D546" s="193">
        <v>791.44</v>
      </c>
      <c r="E546" t="s">
        <v>1050</v>
      </c>
      <c r="F546" t="s">
        <v>1051</v>
      </c>
      <c r="G546" s="238" t="s">
        <v>385</v>
      </c>
    </row>
    <row r="547" spans="1:7" ht="26" x14ac:dyDescent="0.15">
      <c r="A547" s="157">
        <v>5504</v>
      </c>
      <c r="B547" s="148">
        <v>43182</v>
      </c>
      <c r="C547" t="s">
        <v>1052</v>
      </c>
      <c r="D547" s="179">
        <v>4563.3500000000004</v>
      </c>
      <c r="E547" s="97" t="s">
        <v>1053</v>
      </c>
      <c r="F547" s="97" t="s">
        <v>1054</v>
      </c>
      <c r="G547" s="236" t="s">
        <v>1055</v>
      </c>
    </row>
    <row r="548" spans="1:7" x14ac:dyDescent="0.15">
      <c r="A548" s="157">
        <v>5505</v>
      </c>
      <c r="B548" s="148">
        <v>43183</v>
      </c>
      <c r="C548" t="s">
        <v>443</v>
      </c>
      <c r="D548" s="179">
        <v>282.66000000000003</v>
      </c>
      <c r="E548" t="s">
        <v>1056</v>
      </c>
      <c r="F548" t="s">
        <v>1057</v>
      </c>
      <c r="G548" s="239"/>
    </row>
    <row r="549" spans="1:7" x14ac:dyDescent="0.15">
      <c r="A549" s="157">
        <v>5506</v>
      </c>
      <c r="B549" s="148">
        <v>43183</v>
      </c>
      <c r="C549" t="s">
        <v>908</v>
      </c>
      <c r="D549" s="179">
        <v>607.91</v>
      </c>
      <c r="E549" t="s">
        <v>1058</v>
      </c>
      <c r="F549" t="s">
        <v>1051</v>
      </c>
      <c r="G549" s="239" t="s">
        <v>385</v>
      </c>
    </row>
    <row r="550" spans="1:7" x14ac:dyDescent="0.15">
      <c r="A550" s="157">
        <v>5507</v>
      </c>
      <c r="B550" s="148">
        <v>43183</v>
      </c>
      <c r="C550" t="s">
        <v>802</v>
      </c>
      <c r="D550" s="179">
        <v>1819.3</v>
      </c>
      <c r="E550" t="s">
        <v>1059</v>
      </c>
      <c r="F550" t="s">
        <v>1051</v>
      </c>
      <c r="G550" s="239" t="s">
        <v>385</v>
      </c>
    </row>
    <row r="551" spans="1:7" x14ac:dyDescent="0.15">
      <c r="A551" s="157">
        <v>5508</v>
      </c>
      <c r="B551" s="148">
        <v>43183</v>
      </c>
      <c r="C551" t="s">
        <v>810</v>
      </c>
      <c r="D551" s="193">
        <v>4000</v>
      </c>
      <c r="E551" t="s">
        <v>1060</v>
      </c>
      <c r="F551" t="s">
        <v>1061</v>
      </c>
      <c r="G551" s="239" t="s">
        <v>385</v>
      </c>
    </row>
    <row r="552" spans="1:7" x14ac:dyDescent="0.15">
      <c r="A552" s="157">
        <v>5509</v>
      </c>
      <c r="B552" s="148">
        <v>43183</v>
      </c>
      <c r="C552" t="s">
        <v>1062</v>
      </c>
      <c r="D552" s="179">
        <v>500</v>
      </c>
      <c r="E552" t="s">
        <v>1060</v>
      </c>
      <c r="F552" t="s">
        <v>1061</v>
      </c>
      <c r="G552" s="239" t="s">
        <v>385</v>
      </c>
    </row>
    <row r="553" spans="1:7" x14ac:dyDescent="0.15">
      <c r="A553" s="157">
        <v>5510</v>
      </c>
      <c r="B553" s="148">
        <v>43183</v>
      </c>
      <c r="C553" t="s">
        <v>1063</v>
      </c>
      <c r="D553" s="179">
        <v>900</v>
      </c>
      <c r="E553" t="s">
        <v>1060</v>
      </c>
      <c r="F553" t="s">
        <v>1061</v>
      </c>
      <c r="G553" s="239" t="s">
        <v>385</v>
      </c>
    </row>
    <row r="554" spans="1:7" x14ac:dyDescent="0.15">
      <c r="A554" s="157">
        <v>5511</v>
      </c>
      <c r="B554" s="148">
        <v>43183</v>
      </c>
      <c r="C554" t="s">
        <v>993</v>
      </c>
      <c r="D554" s="193">
        <v>1773.27</v>
      </c>
      <c r="E554" t="s">
        <v>1064</v>
      </c>
      <c r="F554" t="s">
        <v>1065</v>
      </c>
      <c r="G554" s="239"/>
    </row>
    <row r="555" spans="1:7" x14ac:dyDescent="0.15">
      <c r="A555" s="157"/>
      <c r="B555" s="148"/>
      <c r="D555" s="179"/>
      <c r="G555" s="239"/>
    </row>
    <row r="556" spans="1:7" x14ac:dyDescent="0.15">
      <c r="A556" s="157"/>
      <c r="B556" s="148"/>
      <c r="D556" s="179"/>
      <c r="G556" s="239"/>
    </row>
    <row r="557" spans="1:7" x14ac:dyDescent="0.15">
      <c r="A557" s="157"/>
      <c r="B557" s="148"/>
      <c r="D557" s="179"/>
      <c r="G557" s="239"/>
    </row>
    <row r="558" spans="1:7" x14ac:dyDescent="0.15">
      <c r="A558" s="157"/>
      <c r="B558" s="148"/>
      <c r="D558" s="179"/>
      <c r="G558" s="239"/>
    </row>
    <row r="559" spans="1:7" x14ac:dyDescent="0.15">
      <c r="A559" s="157"/>
      <c r="B559" s="148"/>
      <c r="D559" s="179"/>
      <c r="G559" s="239"/>
    </row>
    <row r="560" spans="1:7" x14ac:dyDescent="0.15">
      <c r="A560" s="157"/>
      <c r="B560" s="148"/>
      <c r="D560" s="179"/>
      <c r="G560" s="239"/>
    </row>
    <row r="561" spans="1:7" x14ac:dyDescent="0.15">
      <c r="A561" s="157"/>
      <c r="B561" s="148"/>
      <c r="D561" s="179"/>
      <c r="G561" s="239"/>
    </row>
    <row r="562" spans="1:7" x14ac:dyDescent="0.15">
      <c r="A562" s="157"/>
      <c r="B562" s="148"/>
      <c r="D562" s="179"/>
      <c r="G562" s="239"/>
    </row>
    <row r="563" spans="1:7" x14ac:dyDescent="0.15">
      <c r="A563" s="157"/>
      <c r="B563" s="148"/>
      <c r="D563" s="179"/>
      <c r="G563" s="239"/>
    </row>
    <row r="564" spans="1:7" x14ac:dyDescent="0.15">
      <c r="B564" s="156"/>
      <c r="C564" t="s">
        <v>399</v>
      </c>
      <c r="G564" s="147"/>
    </row>
    <row r="565" spans="1:7" x14ac:dyDescent="0.15">
      <c r="G565" s="147"/>
    </row>
    <row r="566" spans="1:7" x14ac:dyDescent="0.15">
      <c r="G566" s="147"/>
    </row>
    <row r="567" spans="1:7" x14ac:dyDescent="0.15">
      <c r="G567" s="147"/>
    </row>
    <row r="568" spans="1:7" x14ac:dyDescent="0.15">
      <c r="G568" s="147"/>
    </row>
    <row r="569" spans="1:7" x14ac:dyDescent="0.15">
      <c r="G569" s="147"/>
    </row>
    <row r="570" spans="1:7" x14ac:dyDescent="0.15">
      <c r="G570" s="147"/>
    </row>
    <row r="571" spans="1:7" x14ac:dyDescent="0.15">
      <c r="G571" s="147"/>
    </row>
    <row r="572" spans="1:7" x14ac:dyDescent="0.15">
      <c r="G572" s="147"/>
    </row>
    <row r="573" spans="1:7" x14ac:dyDescent="0.15">
      <c r="G573" s="147"/>
    </row>
    <row r="574" spans="1:7" x14ac:dyDescent="0.15">
      <c r="G574" s="147"/>
    </row>
    <row r="575" spans="1:7" x14ac:dyDescent="0.15">
      <c r="G575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8:AA78"/>
  <sheetViews>
    <sheetView topLeftCell="A21" workbookViewId="0">
      <selection activeCell="AC37" sqref="AB37:AC37"/>
    </sheetView>
  </sheetViews>
  <sheetFormatPr baseColWidth="10" defaultColWidth="8.83203125" defaultRowHeight="13" x14ac:dyDescent="0.15"/>
  <cols>
    <col min="3" max="3" width="0" hidden="1" customWidth="1"/>
    <col min="4" max="4" width="11" hidden="1" customWidth="1"/>
    <col min="5" max="5" width="12.83203125" hidden="1" customWidth="1"/>
    <col min="6" max="6" width="10.83203125" hidden="1" customWidth="1"/>
    <col min="7" max="7" width="9.1640625" hidden="1" customWidth="1"/>
    <col min="8" max="8" width="23.1640625" hidden="1" customWidth="1"/>
    <col min="9" max="9" width="12.33203125" hidden="1" customWidth="1"/>
    <col min="10" max="10" width="13" hidden="1" customWidth="1"/>
    <col min="11" max="24" width="9.1640625" hidden="1" customWidth="1"/>
    <col min="25" max="27" width="9.1640625" customWidth="1"/>
  </cols>
  <sheetData>
    <row r="8" spans="6:27" x14ac:dyDescent="0.15">
      <c r="AA8">
        <v>136840.97</v>
      </c>
    </row>
    <row r="9" spans="6:27" x14ac:dyDescent="0.15">
      <c r="AA9">
        <v>478.14</v>
      </c>
    </row>
    <row r="10" spans="6:27" x14ac:dyDescent="0.15">
      <c r="AA10">
        <v>500</v>
      </c>
    </row>
    <row r="11" spans="6:27" x14ac:dyDescent="0.15">
      <c r="AA11">
        <v>908.96</v>
      </c>
    </row>
    <row r="12" spans="6:27" x14ac:dyDescent="0.15">
      <c r="Y12">
        <v>141838</v>
      </c>
      <c r="AA12">
        <v>27.33</v>
      </c>
    </row>
    <row r="13" spans="6:27" x14ac:dyDescent="0.15">
      <c r="AA13">
        <v>12.98</v>
      </c>
    </row>
    <row r="14" spans="6:27" x14ac:dyDescent="0.15">
      <c r="F14" t="s">
        <v>1036</v>
      </c>
      <c r="G14" t="s">
        <v>1037</v>
      </c>
      <c r="J14" t="s">
        <v>1009</v>
      </c>
      <c r="K14" t="s">
        <v>1010</v>
      </c>
      <c r="N14" t="s">
        <v>1012</v>
      </c>
      <c r="P14" t="s">
        <v>1011</v>
      </c>
      <c r="V14" t="s">
        <v>1014</v>
      </c>
      <c r="AA14">
        <v>400</v>
      </c>
    </row>
    <row r="15" spans="6:27" x14ac:dyDescent="0.15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15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15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15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15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15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15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15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15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15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15">
      <c r="J25">
        <v>1223.75</v>
      </c>
      <c r="N25">
        <v>36</v>
      </c>
      <c r="V25">
        <v>260</v>
      </c>
    </row>
    <row r="26" spans="5:27" x14ac:dyDescent="0.15">
      <c r="E26" t="s">
        <v>1017</v>
      </c>
      <c r="F26">
        <v>1223.75</v>
      </c>
      <c r="H26" t="s">
        <v>1017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15">
      <c r="F27">
        <v>42.88</v>
      </c>
      <c r="N27">
        <v>1000</v>
      </c>
      <c r="V27">
        <f>W26-V26</f>
        <v>-2015.5</v>
      </c>
    </row>
    <row r="28" spans="5:27" x14ac:dyDescent="0.15">
      <c r="N28">
        <f>SUM(N15:N27)</f>
        <v>7203.04</v>
      </c>
      <c r="U28">
        <v>145002.37</v>
      </c>
    </row>
    <row r="29" spans="5:27" x14ac:dyDescent="0.15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15">
      <c r="G30">
        <f>G29-F29</f>
        <v>-2454.2500000000009</v>
      </c>
      <c r="I30" t="s">
        <v>1015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15">
      <c r="I31" t="s">
        <v>1016</v>
      </c>
      <c r="J31">
        <f>J30-K30</f>
        <v>4603.4799999999996</v>
      </c>
      <c r="P31">
        <f>P29-P30</f>
        <v>141179.63999999998</v>
      </c>
    </row>
    <row r="32" spans="5:27" x14ac:dyDescent="0.15">
      <c r="P32">
        <v>141100.79999999999</v>
      </c>
    </row>
    <row r="33" spans="4:19" x14ac:dyDescent="0.15">
      <c r="P33">
        <f>P31-P32</f>
        <v>78.839999999996508</v>
      </c>
      <c r="R33" t="s">
        <v>1013</v>
      </c>
      <c r="S33">
        <v>42.88</v>
      </c>
    </row>
    <row r="34" spans="4:19" x14ac:dyDescent="0.15">
      <c r="D34" t="s">
        <v>1039</v>
      </c>
      <c r="F34" s="35">
        <v>141838.57999999999</v>
      </c>
      <c r="H34" t="s">
        <v>1044</v>
      </c>
      <c r="I34" s="234">
        <v>136840.97</v>
      </c>
      <c r="P34">
        <f>P33-S33</f>
        <v>35.959999999996505</v>
      </c>
    </row>
    <row r="35" spans="4:19" x14ac:dyDescent="0.15">
      <c r="D35" t="s">
        <v>1040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15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15">
      <c r="E37" t="s">
        <v>1038</v>
      </c>
      <c r="F37">
        <v>0.1</v>
      </c>
      <c r="H37" t="s">
        <v>1038</v>
      </c>
      <c r="I37" s="234">
        <v>0.1</v>
      </c>
      <c r="J37" s="234">
        <v>908.96</v>
      </c>
    </row>
    <row r="38" spans="4:19" x14ac:dyDescent="0.15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15">
      <c r="E39">
        <v>5500</v>
      </c>
      <c r="F39">
        <v>2099.5</v>
      </c>
      <c r="I39" s="234"/>
      <c r="J39" s="234">
        <v>12.98</v>
      </c>
    </row>
    <row r="40" spans="4:19" x14ac:dyDescent="0.15">
      <c r="E40">
        <v>5501</v>
      </c>
      <c r="F40">
        <v>1819.3</v>
      </c>
      <c r="I40" s="234"/>
      <c r="J40" s="234">
        <v>400</v>
      </c>
    </row>
    <row r="41" spans="4:19" x14ac:dyDescent="0.15">
      <c r="D41" t="s">
        <v>1041</v>
      </c>
      <c r="F41" s="4">
        <f>SUM(F35:F40)</f>
        <v>6185.53</v>
      </c>
      <c r="I41" s="234"/>
      <c r="J41" s="234">
        <v>1149.0899999999999</v>
      </c>
    </row>
    <row r="42" spans="4:19" x14ac:dyDescent="0.15">
      <c r="D42" t="s">
        <v>1042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15">
      <c r="H43" t="s">
        <v>1045</v>
      </c>
      <c r="I43" s="234">
        <f>I34-I42</f>
        <v>135138.95000000001</v>
      </c>
      <c r="J43" s="234">
        <v>30.03</v>
      </c>
    </row>
    <row r="44" spans="4:19" x14ac:dyDescent="0.15">
      <c r="I44" s="234"/>
      <c r="J44" s="234">
        <v>107.39</v>
      </c>
    </row>
    <row r="45" spans="4:19" x14ac:dyDescent="0.15">
      <c r="I45" s="234"/>
      <c r="J45" s="234">
        <v>1223.75</v>
      </c>
    </row>
    <row r="46" spans="4:19" x14ac:dyDescent="0.15">
      <c r="I46" s="234"/>
      <c r="J46" s="234">
        <v>0.1</v>
      </c>
    </row>
    <row r="47" spans="4:19" x14ac:dyDescent="0.15">
      <c r="I47" s="234"/>
      <c r="J47" s="234">
        <v>42.88</v>
      </c>
    </row>
    <row r="48" spans="4:19" x14ac:dyDescent="0.15">
      <c r="I48" s="234"/>
      <c r="J48" s="235">
        <f>SUM(J35:J47)</f>
        <v>6699.63</v>
      </c>
    </row>
    <row r="49" spans="4:10" x14ac:dyDescent="0.15">
      <c r="H49" t="s">
        <v>1043</v>
      </c>
      <c r="I49" s="234"/>
      <c r="J49" s="234">
        <f>J48-I42</f>
        <v>4997.6100000000006</v>
      </c>
    </row>
    <row r="50" spans="4:10" x14ac:dyDescent="0.15">
      <c r="H50" t="s">
        <v>1039</v>
      </c>
      <c r="I50" s="234"/>
      <c r="J50" s="235">
        <f>I34+J49</f>
        <v>141838.58000000002</v>
      </c>
    </row>
    <row r="55" spans="4:10" x14ac:dyDescent="0.15">
      <c r="D55" t="s">
        <v>1067</v>
      </c>
      <c r="F55">
        <v>218377.79</v>
      </c>
    </row>
    <row r="56" spans="4:10" x14ac:dyDescent="0.15">
      <c r="E56" t="s">
        <v>1068</v>
      </c>
    </row>
    <row r="57" spans="4:10" x14ac:dyDescent="0.15">
      <c r="E57">
        <v>5510</v>
      </c>
      <c r="F57">
        <v>900</v>
      </c>
    </row>
    <row r="58" spans="4:10" x14ac:dyDescent="0.15">
      <c r="E58">
        <v>5509</v>
      </c>
      <c r="F58">
        <v>500</v>
      </c>
    </row>
    <row r="59" spans="4:10" x14ac:dyDescent="0.15">
      <c r="E59">
        <v>5507</v>
      </c>
      <c r="F59">
        <v>1819.3</v>
      </c>
    </row>
    <row r="60" spans="4:10" x14ac:dyDescent="0.15">
      <c r="E60">
        <v>5506</v>
      </c>
      <c r="F60">
        <v>607.91</v>
      </c>
    </row>
    <row r="61" spans="4:10" x14ac:dyDescent="0.15">
      <c r="E61">
        <v>5505</v>
      </c>
      <c r="F61">
        <v>282.66000000000003</v>
      </c>
    </row>
    <row r="62" spans="4:10" x14ac:dyDescent="0.15">
      <c r="E62">
        <v>5504</v>
      </c>
      <c r="F62">
        <v>4563.3500000000004</v>
      </c>
    </row>
    <row r="63" spans="4:10" x14ac:dyDescent="0.15">
      <c r="E63">
        <v>5472</v>
      </c>
      <c r="F63">
        <v>42.88</v>
      </c>
    </row>
    <row r="64" spans="4:10" x14ac:dyDescent="0.15">
      <c r="F64">
        <f>SUM(F57:F63)</f>
        <v>8716.1</v>
      </c>
    </row>
    <row r="66" spans="6:18" x14ac:dyDescent="0.15">
      <c r="F66">
        <f>F55-F64</f>
        <v>209661.69</v>
      </c>
    </row>
    <row r="74" spans="6:18" x14ac:dyDescent="0.15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1018</v>
      </c>
    </row>
    <row r="75" spans="6:18" x14ac:dyDescent="0.15">
      <c r="O75">
        <f>O74+J31</f>
        <v>141444.45000000001</v>
      </c>
      <c r="Q75">
        <v>1223.75</v>
      </c>
      <c r="R75" t="s">
        <v>1019</v>
      </c>
    </row>
    <row r="76" spans="6:18" x14ac:dyDescent="0.15">
      <c r="O76">
        <f>O75-J74</f>
        <v>43.750000000029104</v>
      </c>
      <c r="Q76">
        <v>115.8</v>
      </c>
    </row>
    <row r="77" spans="6:18" x14ac:dyDescent="0.15">
      <c r="Q77">
        <v>42.88</v>
      </c>
      <c r="R77" t="s">
        <v>1020</v>
      </c>
    </row>
    <row r="78" spans="6:18" x14ac:dyDescent="0.15">
      <c r="Q78">
        <f>SUM(Q74:Q77)</f>
        <v>138223.43</v>
      </c>
      <c r="R78" t="s">
        <v>1021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Frank Fulton</cp:lastModifiedBy>
  <cp:lastPrinted>2017-08-09T19:16:07Z</cp:lastPrinted>
  <dcterms:created xsi:type="dcterms:W3CDTF">1996-10-14T23:33:28Z</dcterms:created>
  <dcterms:modified xsi:type="dcterms:W3CDTF">2018-04-16T14:31:05Z</dcterms:modified>
</cp:coreProperties>
</file>