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Volleyball 18\Rankings\Rankings\Kidz Power\"/>
    </mc:Choice>
  </mc:AlternateContent>
  <bookViews>
    <workbookView xWindow="-48" yWindow="-36" windowWidth="11676" windowHeight="8040" activeTab="6"/>
  </bookViews>
  <sheets>
    <sheet name="AM r2" sheetId="1" r:id="rId1"/>
    <sheet name="AM r1" sheetId="2" r:id="rId2"/>
    <sheet name="PM r2" sheetId="5" r:id="rId3"/>
    <sheet name="PM r1" sheetId="4" r:id="rId4"/>
    <sheet name="RatingResultsSummary" sheetId="6" r:id="rId5"/>
    <sheet name="Initial" sheetId="3" r:id="rId6"/>
    <sheet name="Final" sheetId="8" r:id="rId7"/>
    <sheet name="Final-PM" sheetId="9" r:id="rId8"/>
  </sheets>
  <externalReferences>
    <externalReference r:id="rId9"/>
    <externalReference r:id="rId10"/>
  </externalReferences>
  <definedNames>
    <definedName name="div" localSheetId="6">#REF!</definedName>
    <definedName name="div" localSheetId="7">#REF!</definedName>
    <definedName name="div" localSheetId="5">#REF!</definedName>
    <definedName name="div">#REF!</definedName>
    <definedName name="DormanTM" localSheetId="6">#REF!</definedName>
    <definedName name="DormanTM" localSheetId="7">#REF!</definedName>
    <definedName name="DormanTM" localSheetId="5">#REF!</definedName>
    <definedName name="DormanTM">#REF!</definedName>
    <definedName name="mizuno" localSheetId="6">#REF!</definedName>
    <definedName name="mizuno" localSheetId="7">#REF!</definedName>
    <definedName name="mizuno" localSheetId="5">#REF!</definedName>
    <definedName name="mizuno">#REF!</definedName>
    <definedName name="Playoff_K">[1]Example!$AS$3</definedName>
    <definedName name="Pool_K">[1]Example!$AS$2</definedName>
    <definedName name="_xlnm.Print_Area" localSheetId="1">'AM r1'!$A$1:$AQ$180</definedName>
    <definedName name="_xlnm.Print_Area" localSheetId="0">'AM r2'!$A$1:$AQ$235</definedName>
    <definedName name="_xlnm.Print_Area" localSheetId="3">'PM r1'!$A$1:$AQ$174</definedName>
    <definedName name="_xlnm.Print_Area" localSheetId="2">'PM r2'!$A$1:$AQ$174</definedName>
    <definedName name="score" localSheetId="1">#REF!</definedName>
    <definedName name="score" localSheetId="0">#REF!</definedName>
    <definedName name="score" localSheetId="6">#REF!</definedName>
    <definedName name="score" localSheetId="7">#REF!</definedName>
    <definedName name="score" localSheetId="5">#REF!</definedName>
    <definedName name="score" localSheetId="3">#REF!</definedName>
    <definedName name="score" localSheetId="2">#REF!</definedName>
    <definedName name="score">#REF!</definedName>
    <definedName name="sex" localSheetId="6">#REF!</definedName>
    <definedName name="sex" localSheetId="7">#REF!</definedName>
    <definedName name="sex" localSheetId="5">#REF!</definedName>
    <definedName name="sex">#REF!</definedName>
    <definedName name="UniformNeeds" localSheetId="6">#REF!</definedName>
    <definedName name="UniformNeeds" localSheetId="7">#REF!</definedName>
    <definedName name="UniformNeeds" localSheetId="5">#REF!</definedName>
    <definedName name="UniformNeeds">#REF!</definedName>
  </definedNames>
  <calcPr calcId="162913"/>
</workbook>
</file>

<file path=xl/calcChain.xml><?xml version="1.0" encoding="utf-8"?>
<calcChain xmlns="http://schemas.openxmlformats.org/spreadsheetml/2006/main">
  <c r="K40" i="9" l="1"/>
  <c r="F40" i="9"/>
  <c r="E40" i="9"/>
  <c r="K55" i="9"/>
  <c r="F55" i="9"/>
  <c r="E55" i="9"/>
  <c r="K58" i="9"/>
  <c r="F58" i="9"/>
  <c r="E58" i="9"/>
  <c r="K50" i="9"/>
  <c r="F50" i="9"/>
  <c r="E50" i="9"/>
  <c r="K7" i="9"/>
  <c r="F7" i="9"/>
  <c r="E7" i="9"/>
  <c r="K35" i="9"/>
  <c r="F35" i="9"/>
  <c r="E35" i="9"/>
  <c r="K54" i="9"/>
  <c r="F54" i="9"/>
  <c r="E54" i="9"/>
  <c r="K59" i="9"/>
  <c r="F59" i="9"/>
  <c r="E59" i="9"/>
  <c r="K5" i="9"/>
  <c r="F5" i="9"/>
  <c r="E5" i="9"/>
  <c r="K4" i="9"/>
  <c r="F4" i="9"/>
  <c r="E4" i="9"/>
  <c r="K6" i="9"/>
  <c r="F6" i="9"/>
  <c r="E6" i="9"/>
  <c r="K196" i="9"/>
  <c r="F196" i="9"/>
  <c r="E196" i="9"/>
  <c r="K70" i="9"/>
  <c r="F70" i="9"/>
  <c r="E70" i="9"/>
  <c r="K295" i="9"/>
  <c r="F295" i="9"/>
  <c r="E295" i="9"/>
  <c r="K293" i="9"/>
  <c r="F293" i="9"/>
  <c r="E293" i="9"/>
  <c r="K292" i="9"/>
  <c r="F292" i="9"/>
  <c r="E292" i="9"/>
  <c r="K294" i="9"/>
  <c r="F294" i="9"/>
  <c r="E294" i="9"/>
  <c r="K291" i="9"/>
  <c r="F291" i="9"/>
  <c r="E291" i="9"/>
  <c r="K290" i="9"/>
  <c r="F290" i="9"/>
  <c r="E290" i="9"/>
  <c r="K282" i="9"/>
  <c r="F282" i="9"/>
  <c r="E282" i="9"/>
  <c r="K284" i="9"/>
  <c r="F284" i="9"/>
  <c r="E284" i="9"/>
  <c r="K279" i="9"/>
  <c r="F279" i="9"/>
  <c r="E279" i="9"/>
  <c r="K283" i="9"/>
  <c r="F283" i="9"/>
  <c r="E283" i="9"/>
  <c r="K288" i="9"/>
  <c r="F288" i="9"/>
  <c r="E288" i="9"/>
  <c r="K278" i="9"/>
  <c r="F278" i="9"/>
  <c r="E278" i="9"/>
  <c r="K285" i="9"/>
  <c r="F285" i="9"/>
  <c r="E285" i="9"/>
  <c r="K287" i="9"/>
  <c r="F287" i="9"/>
  <c r="E287" i="9"/>
  <c r="K289" i="9"/>
  <c r="F289" i="9"/>
  <c r="E289" i="9"/>
  <c r="K280" i="9"/>
  <c r="F280" i="9"/>
  <c r="E280" i="9"/>
  <c r="K281" i="9"/>
  <c r="F281" i="9"/>
  <c r="E281" i="9"/>
  <c r="K286" i="9"/>
  <c r="F286" i="9"/>
  <c r="E286" i="9"/>
  <c r="K274" i="9"/>
  <c r="F274" i="9"/>
  <c r="E274" i="9"/>
  <c r="K273" i="9"/>
  <c r="F273" i="9"/>
  <c r="E273" i="9"/>
  <c r="K277" i="9"/>
  <c r="F277" i="9"/>
  <c r="E277" i="9"/>
  <c r="K275" i="9"/>
  <c r="F275" i="9"/>
  <c r="E275" i="9"/>
  <c r="K272" i="9"/>
  <c r="F272" i="9"/>
  <c r="E272" i="9"/>
  <c r="K276" i="9"/>
  <c r="F276" i="9"/>
  <c r="E276" i="9"/>
  <c r="C276" i="9" s="1"/>
  <c r="K271" i="9"/>
  <c r="F271" i="9"/>
  <c r="E271" i="9"/>
  <c r="K270" i="9"/>
  <c r="F270" i="9"/>
  <c r="E270" i="9"/>
  <c r="K269" i="9"/>
  <c r="F269" i="9"/>
  <c r="E269" i="9"/>
  <c r="K268" i="9"/>
  <c r="F268" i="9"/>
  <c r="E268" i="9"/>
  <c r="K267" i="9"/>
  <c r="F267" i="9"/>
  <c r="E267" i="9"/>
  <c r="K260" i="9"/>
  <c r="F260" i="9"/>
  <c r="E260" i="9"/>
  <c r="K261" i="9"/>
  <c r="F261" i="9"/>
  <c r="E261" i="9"/>
  <c r="K263" i="9"/>
  <c r="F263" i="9"/>
  <c r="E263" i="9"/>
  <c r="K258" i="9"/>
  <c r="F258" i="9"/>
  <c r="E258" i="9"/>
  <c r="C294" i="9" s="1"/>
  <c r="K257" i="9"/>
  <c r="F257" i="9"/>
  <c r="E257" i="9"/>
  <c r="K265" i="9"/>
  <c r="F265" i="9"/>
  <c r="E265" i="9"/>
  <c r="K262" i="9"/>
  <c r="F262" i="9"/>
  <c r="E262" i="9"/>
  <c r="K266" i="9"/>
  <c r="F266" i="9"/>
  <c r="E266" i="9"/>
  <c r="K259" i="9"/>
  <c r="F259" i="9"/>
  <c r="E259" i="9"/>
  <c r="K264" i="9"/>
  <c r="F264" i="9"/>
  <c r="E264" i="9"/>
  <c r="K248" i="9"/>
  <c r="F248" i="9"/>
  <c r="E248" i="9"/>
  <c r="K256" i="9"/>
  <c r="F256" i="9"/>
  <c r="E256" i="9"/>
  <c r="K251" i="9"/>
  <c r="F251" i="9"/>
  <c r="E251" i="9"/>
  <c r="K252" i="9"/>
  <c r="F252" i="9"/>
  <c r="E252" i="9"/>
  <c r="K250" i="9"/>
  <c r="F250" i="9"/>
  <c r="E250" i="9"/>
  <c r="K253" i="9"/>
  <c r="F253" i="9"/>
  <c r="E253" i="9"/>
  <c r="K255" i="9"/>
  <c r="F255" i="9"/>
  <c r="E255" i="9"/>
  <c r="K244" i="9"/>
  <c r="F244" i="9"/>
  <c r="E244" i="9"/>
  <c r="K254" i="9"/>
  <c r="F254" i="9"/>
  <c r="E254" i="9"/>
  <c r="K249" i="9"/>
  <c r="F249" i="9"/>
  <c r="E249" i="9"/>
  <c r="K247" i="9"/>
  <c r="F247" i="9"/>
  <c r="E247" i="9"/>
  <c r="K246" i="9"/>
  <c r="F246" i="9"/>
  <c r="E246" i="9"/>
  <c r="K241" i="9"/>
  <c r="F241" i="9"/>
  <c r="E241" i="9"/>
  <c r="K245" i="9"/>
  <c r="F245" i="9"/>
  <c r="E245" i="9"/>
  <c r="K239" i="9"/>
  <c r="F239" i="9"/>
  <c r="E239" i="9"/>
  <c r="K235" i="9"/>
  <c r="F235" i="9"/>
  <c r="E235" i="9"/>
  <c r="K240" i="9"/>
  <c r="F240" i="9"/>
  <c r="E240" i="9"/>
  <c r="K230" i="9"/>
  <c r="F230" i="9"/>
  <c r="E230" i="9"/>
  <c r="K243" i="9"/>
  <c r="F243" i="9"/>
  <c r="E243" i="9"/>
  <c r="K229" i="9"/>
  <c r="F229" i="9"/>
  <c r="E229" i="9"/>
  <c r="K238" i="9"/>
  <c r="F238" i="9"/>
  <c r="E238" i="9"/>
  <c r="K223" i="9"/>
  <c r="F223" i="9"/>
  <c r="E223" i="9"/>
  <c r="K232" i="9"/>
  <c r="F232" i="9"/>
  <c r="E232" i="9"/>
  <c r="K236" i="9"/>
  <c r="F236" i="9"/>
  <c r="E236" i="9"/>
  <c r="K228" i="9"/>
  <c r="F228" i="9"/>
  <c r="E228" i="9"/>
  <c r="K218" i="9"/>
  <c r="F218" i="9"/>
  <c r="E218" i="9"/>
  <c r="K231" i="9"/>
  <c r="F231" i="9"/>
  <c r="E231" i="9"/>
  <c r="K237" i="9"/>
  <c r="F237" i="9"/>
  <c r="E237" i="9"/>
  <c r="K212" i="9"/>
  <c r="F212" i="9"/>
  <c r="E212" i="9"/>
  <c r="K214" i="9"/>
  <c r="F214" i="9"/>
  <c r="E214" i="9"/>
  <c r="K217" i="9"/>
  <c r="F217" i="9"/>
  <c r="E217" i="9"/>
  <c r="K220" i="9"/>
  <c r="F220" i="9"/>
  <c r="E220" i="9"/>
  <c r="K210" i="9"/>
  <c r="F210" i="9"/>
  <c r="E210" i="9"/>
  <c r="K234" i="9"/>
  <c r="F234" i="9"/>
  <c r="E234" i="9"/>
  <c r="K227" i="9"/>
  <c r="F227" i="9"/>
  <c r="E227" i="9"/>
  <c r="K213" i="9"/>
  <c r="F213" i="9"/>
  <c r="E213" i="9"/>
  <c r="K219" i="9"/>
  <c r="F219" i="9"/>
  <c r="E219" i="9"/>
  <c r="K226" i="9"/>
  <c r="F226" i="9"/>
  <c r="E226" i="9"/>
  <c r="K224" i="9"/>
  <c r="F224" i="9"/>
  <c r="E224" i="9"/>
  <c r="K222" i="9"/>
  <c r="F222" i="9"/>
  <c r="E222" i="9"/>
  <c r="K216" i="9"/>
  <c r="F216" i="9"/>
  <c r="E216" i="9"/>
  <c r="K225" i="9"/>
  <c r="F225" i="9"/>
  <c r="E225" i="9"/>
  <c r="K208" i="9"/>
  <c r="F208" i="9"/>
  <c r="E208" i="9"/>
  <c r="K215" i="9"/>
  <c r="F215" i="9"/>
  <c r="E215" i="9"/>
  <c r="K242" i="9"/>
  <c r="F242" i="9"/>
  <c r="E242" i="9"/>
  <c r="K207" i="9"/>
  <c r="F207" i="9"/>
  <c r="E207" i="9"/>
  <c r="K233" i="9"/>
  <c r="F233" i="9"/>
  <c r="E233" i="9"/>
  <c r="K209" i="9"/>
  <c r="F209" i="9"/>
  <c r="E209" i="9"/>
  <c r="K221" i="9"/>
  <c r="F221" i="9"/>
  <c r="E221" i="9"/>
  <c r="K211" i="9"/>
  <c r="F211" i="9"/>
  <c r="E211" i="9"/>
  <c r="K194" i="9"/>
  <c r="F194" i="9"/>
  <c r="E194" i="9"/>
  <c r="K205" i="9"/>
  <c r="F205" i="9"/>
  <c r="E205" i="9"/>
  <c r="K201" i="9"/>
  <c r="F201" i="9"/>
  <c r="E201" i="9"/>
  <c r="K202" i="9"/>
  <c r="F202" i="9"/>
  <c r="E202" i="9"/>
  <c r="K200" i="9"/>
  <c r="F200" i="9"/>
  <c r="E200" i="9"/>
  <c r="K206" i="9"/>
  <c r="F206" i="9"/>
  <c r="E206" i="9"/>
  <c r="K192" i="9"/>
  <c r="F192" i="9"/>
  <c r="E192" i="9"/>
  <c r="K193" i="9"/>
  <c r="F193" i="9"/>
  <c r="E193" i="9"/>
  <c r="K203" i="9"/>
  <c r="F203" i="9"/>
  <c r="E203" i="9"/>
  <c r="K204" i="9"/>
  <c r="F204" i="9"/>
  <c r="E204" i="9"/>
  <c r="K190" i="9"/>
  <c r="F190" i="9"/>
  <c r="E190" i="9"/>
  <c r="K195" i="9"/>
  <c r="F195" i="9"/>
  <c r="E195" i="9"/>
  <c r="K197" i="9"/>
  <c r="F197" i="9"/>
  <c r="E197" i="9"/>
  <c r="K199" i="9"/>
  <c r="F199" i="9"/>
  <c r="E199" i="9"/>
  <c r="K191" i="9"/>
  <c r="F191" i="9"/>
  <c r="E191" i="9"/>
  <c r="K185" i="9"/>
  <c r="F185" i="9"/>
  <c r="E185" i="9"/>
  <c r="K198" i="9"/>
  <c r="F198" i="9"/>
  <c r="E198" i="9"/>
  <c r="K188" i="9"/>
  <c r="F188" i="9"/>
  <c r="E188" i="9"/>
  <c r="K187" i="9"/>
  <c r="F187" i="9"/>
  <c r="E187" i="9"/>
  <c r="K189" i="9"/>
  <c r="F189" i="9"/>
  <c r="E189" i="9"/>
  <c r="K177" i="9"/>
  <c r="F177" i="9"/>
  <c r="E177" i="9"/>
  <c r="K158" i="9"/>
  <c r="F158" i="9"/>
  <c r="E158" i="9"/>
  <c r="K167" i="9"/>
  <c r="F167" i="9"/>
  <c r="E167" i="9"/>
  <c r="K182" i="9"/>
  <c r="F182" i="9"/>
  <c r="E182" i="9"/>
  <c r="K181" i="9"/>
  <c r="F181" i="9"/>
  <c r="E181" i="9"/>
  <c r="K163" i="9"/>
  <c r="F163" i="9"/>
  <c r="E163" i="9"/>
  <c r="K159" i="9"/>
  <c r="F159" i="9"/>
  <c r="E159" i="9"/>
  <c r="K174" i="9"/>
  <c r="F174" i="9"/>
  <c r="E174" i="9"/>
  <c r="K173" i="9"/>
  <c r="F173" i="9"/>
  <c r="E173" i="9"/>
  <c r="K164" i="9"/>
  <c r="F164" i="9"/>
  <c r="E164" i="9"/>
  <c r="K180" i="9"/>
  <c r="F180" i="9"/>
  <c r="E180" i="9"/>
  <c r="K165" i="9"/>
  <c r="F165" i="9"/>
  <c r="E165" i="9"/>
  <c r="K169" i="9"/>
  <c r="F169" i="9"/>
  <c r="E169" i="9"/>
  <c r="K160" i="9"/>
  <c r="F160" i="9"/>
  <c r="E160" i="9"/>
  <c r="K170" i="9"/>
  <c r="F170" i="9"/>
  <c r="E170" i="9"/>
  <c r="K184" i="9"/>
  <c r="F184" i="9"/>
  <c r="E184" i="9"/>
  <c r="K186" i="9"/>
  <c r="F186" i="9"/>
  <c r="E186" i="9"/>
  <c r="K183" i="9"/>
  <c r="F183" i="9"/>
  <c r="E183" i="9"/>
  <c r="K175" i="9"/>
  <c r="F175" i="9"/>
  <c r="E175" i="9"/>
  <c r="K172" i="9"/>
  <c r="F172" i="9"/>
  <c r="E172" i="9"/>
  <c r="K171" i="9"/>
  <c r="F171" i="9"/>
  <c r="E171" i="9"/>
  <c r="K179" i="9"/>
  <c r="F179" i="9"/>
  <c r="E179" i="9"/>
  <c r="K161" i="9"/>
  <c r="F161" i="9"/>
  <c r="E161" i="9"/>
  <c r="K168" i="9"/>
  <c r="F168" i="9"/>
  <c r="E168" i="9"/>
  <c r="K176" i="9"/>
  <c r="F176" i="9"/>
  <c r="E176" i="9"/>
  <c r="K178" i="9"/>
  <c r="F178" i="9"/>
  <c r="E178" i="9"/>
  <c r="K166" i="9"/>
  <c r="F166" i="9"/>
  <c r="E166" i="9"/>
  <c r="K162" i="9"/>
  <c r="F162" i="9"/>
  <c r="E162" i="9"/>
  <c r="K140" i="9"/>
  <c r="F140" i="9"/>
  <c r="E140" i="9"/>
  <c r="K125" i="9"/>
  <c r="F125" i="9"/>
  <c r="E125" i="9"/>
  <c r="K139" i="9"/>
  <c r="F139" i="9"/>
  <c r="E139" i="9"/>
  <c r="K149" i="9"/>
  <c r="F149" i="9"/>
  <c r="E149" i="9"/>
  <c r="K155" i="9"/>
  <c r="F155" i="9"/>
  <c r="E155" i="9"/>
  <c r="K127" i="9"/>
  <c r="F127" i="9"/>
  <c r="E127" i="9"/>
  <c r="K144" i="9"/>
  <c r="F144" i="9"/>
  <c r="E144" i="9"/>
  <c r="K154" i="9"/>
  <c r="F154" i="9"/>
  <c r="E154" i="9"/>
  <c r="K138" i="9"/>
  <c r="F138" i="9"/>
  <c r="E138" i="9"/>
  <c r="K151" i="9"/>
  <c r="F151" i="9"/>
  <c r="E151" i="9"/>
  <c r="K157" i="9"/>
  <c r="F157" i="9"/>
  <c r="E157" i="9"/>
  <c r="K147" i="9"/>
  <c r="F147" i="9"/>
  <c r="E147" i="9"/>
  <c r="K141" i="9"/>
  <c r="F141" i="9"/>
  <c r="E141" i="9"/>
  <c r="K153" i="9"/>
  <c r="F153" i="9"/>
  <c r="E153" i="9"/>
  <c r="K156" i="9"/>
  <c r="F156" i="9"/>
  <c r="E156" i="9"/>
  <c r="K146" i="9"/>
  <c r="F146" i="9"/>
  <c r="E146" i="9"/>
  <c r="K145" i="9"/>
  <c r="F145" i="9"/>
  <c r="E145" i="9"/>
  <c r="K137" i="9"/>
  <c r="F137" i="9"/>
  <c r="E137" i="9"/>
  <c r="K130" i="9"/>
  <c r="F130" i="9"/>
  <c r="E130" i="9"/>
  <c r="K143" i="9"/>
  <c r="F143" i="9"/>
  <c r="E143" i="9"/>
  <c r="K150" i="9"/>
  <c r="F150" i="9"/>
  <c r="E150" i="9"/>
  <c r="K129" i="9"/>
  <c r="F129" i="9"/>
  <c r="E129" i="9"/>
  <c r="K136" i="9"/>
  <c r="F136" i="9"/>
  <c r="E136" i="9"/>
  <c r="K148" i="9"/>
  <c r="F148" i="9"/>
  <c r="E148" i="9"/>
  <c r="K142" i="9"/>
  <c r="F142" i="9"/>
  <c r="E142" i="9"/>
  <c r="K135" i="9"/>
  <c r="F135" i="9"/>
  <c r="E135" i="9"/>
  <c r="K152" i="9"/>
  <c r="F152" i="9"/>
  <c r="E152" i="9"/>
  <c r="K128" i="9"/>
  <c r="F128" i="9"/>
  <c r="E128" i="9"/>
  <c r="K134" i="9"/>
  <c r="F134" i="9"/>
  <c r="E134" i="9"/>
  <c r="K132" i="9"/>
  <c r="F132" i="9"/>
  <c r="E132" i="9"/>
  <c r="K131" i="9"/>
  <c r="F131" i="9"/>
  <c r="E131" i="9"/>
  <c r="K124" i="9"/>
  <c r="F124" i="9"/>
  <c r="E124" i="9"/>
  <c r="K133" i="9"/>
  <c r="F133" i="9"/>
  <c r="E133" i="9"/>
  <c r="K119" i="9"/>
  <c r="F119" i="9"/>
  <c r="E119" i="9"/>
  <c r="K105" i="9"/>
  <c r="F105" i="9"/>
  <c r="E105" i="9"/>
  <c r="K123" i="9"/>
  <c r="F123" i="9"/>
  <c r="E123" i="9"/>
  <c r="K112" i="9"/>
  <c r="F112" i="9"/>
  <c r="E112" i="9"/>
  <c r="K122" i="9"/>
  <c r="F122" i="9"/>
  <c r="E122" i="9"/>
  <c r="K120" i="9"/>
  <c r="F120" i="9"/>
  <c r="E120" i="9"/>
  <c r="K114" i="9"/>
  <c r="F114" i="9"/>
  <c r="E114" i="9"/>
  <c r="K101" i="9"/>
  <c r="F101" i="9"/>
  <c r="E101" i="9"/>
  <c r="K99" i="9"/>
  <c r="F99" i="9"/>
  <c r="E99" i="9"/>
  <c r="K111" i="9"/>
  <c r="F111" i="9"/>
  <c r="E111" i="9"/>
  <c r="K110" i="9"/>
  <c r="F110" i="9"/>
  <c r="E110" i="9"/>
  <c r="K121" i="9"/>
  <c r="F121" i="9"/>
  <c r="E121" i="9"/>
  <c r="K109" i="9"/>
  <c r="F109" i="9"/>
  <c r="E109" i="9"/>
  <c r="K118" i="9"/>
  <c r="F118" i="9"/>
  <c r="E118" i="9"/>
  <c r="K104" i="9"/>
  <c r="F104" i="9"/>
  <c r="E104" i="9"/>
  <c r="K116" i="9"/>
  <c r="F116" i="9"/>
  <c r="E116" i="9"/>
  <c r="K113" i="9"/>
  <c r="F113" i="9"/>
  <c r="E113" i="9"/>
  <c r="K102" i="9"/>
  <c r="F102" i="9"/>
  <c r="E102" i="9"/>
  <c r="K100" i="9"/>
  <c r="F100" i="9"/>
  <c r="E100" i="9"/>
  <c r="K106" i="9"/>
  <c r="F106" i="9"/>
  <c r="E106" i="9"/>
  <c r="K108" i="9"/>
  <c r="F108" i="9"/>
  <c r="E108" i="9"/>
  <c r="K103" i="9"/>
  <c r="F103" i="9"/>
  <c r="E103" i="9"/>
  <c r="K126" i="9"/>
  <c r="F126" i="9"/>
  <c r="E126" i="9"/>
  <c r="K107" i="9"/>
  <c r="F107" i="9"/>
  <c r="E107" i="9"/>
  <c r="K115" i="9"/>
  <c r="F115" i="9"/>
  <c r="E115" i="9"/>
  <c r="K117" i="9"/>
  <c r="F117" i="9"/>
  <c r="E117" i="9"/>
  <c r="K97" i="9"/>
  <c r="F97" i="9"/>
  <c r="E97" i="9"/>
  <c r="K95" i="9"/>
  <c r="F95" i="9"/>
  <c r="E95" i="9"/>
  <c r="K90" i="9"/>
  <c r="F90" i="9"/>
  <c r="E90" i="9"/>
  <c r="K84" i="9"/>
  <c r="F84" i="9"/>
  <c r="E84" i="9"/>
  <c r="K82" i="9"/>
  <c r="F82" i="9"/>
  <c r="E82" i="9"/>
  <c r="K91" i="9"/>
  <c r="F91" i="9"/>
  <c r="E91" i="9"/>
  <c r="K93" i="9"/>
  <c r="F93" i="9"/>
  <c r="E93" i="9"/>
  <c r="K88" i="9"/>
  <c r="F88" i="9"/>
  <c r="E88" i="9"/>
  <c r="K96" i="9"/>
  <c r="F96" i="9"/>
  <c r="E96" i="9"/>
  <c r="K94" i="9"/>
  <c r="F94" i="9"/>
  <c r="E94" i="9"/>
  <c r="K98" i="9"/>
  <c r="F98" i="9"/>
  <c r="E98" i="9"/>
  <c r="K80" i="9"/>
  <c r="F80" i="9"/>
  <c r="E80" i="9"/>
  <c r="K89" i="9"/>
  <c r="F89" i="9"/>
  <c r="E89" i="9"/>
  <c r="K92" i="9"/>
  <c r="F92" i="9"/>
  <c r="E92" i="9"/>
  <c r="K85" i="9"/>
  <c r="F85" i="9"/>
  <c r="E85" i="9"/>
  <c r="K77" i="9"/>
  <c r="F77" i="9"/>
  <c r="E77" i="9"/>
  <c r="K78" i="9"/>
  <c r="F78" i="9"/>
  <c r="E78" i="9"/>
  <c r="K81" i="9"/>
  <c r="F81" i="9"/>
  <c r="E81" i="9"/>
  <c r="K87" i="9"/>
  <c r="F87" i="9"/>
  <c r="E87" i="9"/>
  <c r="K86" i="9"/>
  <c r="F86" i="9"/>
  <c r="E86" i="9"/>
  <c r="K83" i="9"/>
  <c r="F83" i="9"/>
  <c r="E83" i="9"/>
  <c r="K76" i="9"/>
  <c r="F76" i="9"/>
  <c r="E76" i="9"/>
  <c r="K74" i="9"/>
  <c r="F74" i="9"/>
  <c r="E74" i="9"/>
  <c r="K79" i="9"/>
  <c r="F79" i="9"/>
  <c r="E79" i="9"/>
  <c r="K75" i="9"/>
  <c r="F75" i="9"/>
  <c r="E75" i="9"/>
  <c r="K72" i="9"/>
  <c r="F72" i="9"/>
  <c r="E72" i="9"/>
  <c r="K63" i="9"/>
  <c r="F63" i="9"/>
  <c r="E63" i="9"/>
  <c r="K65" i="9"/>
  <c r="F65" i="9"/>
  <c r="E65" i="9"/>
  <c r="K66" i="9"/>
  <c r="F66" i="9"/>
  <c r="E66" i="9"/>
  <c r="K71" i="9"/>
  <c r="F71" i="9"/>
  <c r="E71" i="9"/>
  <c r="K68" i="9"/>
  <c r="F68" i="9"/>
  <c r="E68" i="9"/>
  <c r="K61" i="9"/>
  <c r="F61" i="9"/>
  <c r="E61" i="9"/>
  <c r="K64" i="9"/>
  <c r="F64" i="9"/>
  <c r="E64" i="9"/>
  <c r="K60" i="9"/>
  <c r="F60" i="9"/>
  <c r="E60" i="9"/>
  <c r="K67" i="9"/>
  <c r="F67" i="9"/>
  <c r="E67" i="9"/>
  <c r="K69" i="9"/>
  <c r="F69" i="9"/>
  <c r="E69" i="9"/>
  <c r="K73" i="9"/>
  <c r="F73" i="9"/>
  <c r="E73" i="9"/>
  <c r="K62" i="9"/>
  <c r="F62" i="9"/>
  <c r="E62" i="9"/>
  <c r="K52" i="9"/>
  <c r="F52" i="9"/>
  <c r="E52" i="9"/>
  <c r="K34" i="9"/>
  <c r="F34" i="9"/>
  <c r="E34" i="9"/>
  <c r="K45" i="9"/>
  <c r="F45" i="9"/>
  <c r="E45" i="9"/>
  <c r="K49" i="9"/>
  <c r="F49" i="9"/>
  <c r="E49" i="9"/>
  <c r="K51" i="9"/>
  <c r="F51" i="9"/>
  <c r="E51" i="9"/>
  <c r="K57" i="9"/>
  <c r="F57" i="9"/>
  <c r="E57" i="9"/>
  <c r="K56" i="9"/>
  <c r="F56" i="9"/>
  <c r="E56" i="9"/>
  <c r="K41" i="9"/>
  <c r="F41" i="9"/>
  <c r="E41" i="9"/>
  <c r="K53" i="9"/>
  <c r="F53" i="9"/>
  <c r="E53" i="9"/>
  <c r="K38" i="9"/>
  <c r="F38" i="9"/>
  <c r="E38" i="9"/>
  <c r="K44" i="9"/>
  <c r="F44" i="9"/>
  <c r="E44" i="9"/>
  <c r="K42" i="9"/>
  <c r="F42" i="9"/>
  <c r="E42" i="9"/>
  <c r="K48" i="9"/>
  <c r="F48" i="9"/>
  <c r="E48" i="9"/>
  <c r="K47" i="9"/>
  <c r="F47" i="9"/>
  <c r="E47" i="9"/>
  <c r="K46" i="9"/>
  <c r="F46" i="9"/>
  <c r="E46" i="9"/>
  <c r="K43" i="9"/>
  <c r="F43" i="9"/>
  <c r="E43" i="9"/>
  <c r="K26" i="9"/>
  <c r="F26" i="9"/>
  <c r="E26" i="9"/>
  <c r="K32" i="9"/>
  <c r="F32" i="9"/>
  <c r="E32" i="9"/>
  <c r="K22" i="9"/>
  <c r="F22" i="9"/>
  <c r="E22" i="9"/>
  <c r="K23" i="9"/>
  <c r="F23" i="9"/>
  <c r="E23" i="9"/>
  <c r="K37" i="9"/>
  <c r="F37" i="9"/>
  <c r="E37" i="9"/>
  <c r="K21" i="9"/>
  <c r="F21" i="9"/>
  <c r="E21" i="9"/>
  <c r="K20" i="9"/>
  <c r="F20" i="9"/>
  <c r="E20" i="9"/>
  <c r="K36" i="9"/>
  <c r="F36" i="9"/>
  <c r="E36" i="9"/>
  <c r="K33" i="9"/>
  <c r="F33" i="9"/>
  <c r="E33" i="9"/>
  <c r="K16" i="9"/>
  <c r="F16" i="9"/>
  <c r="E16" i="9"/>
  <c r="K24" i="9"/>
  <c r="F24" i="9"/>
  <c r="E24" i="9"/>
  <c r="K30" i="9"/>
  <c r="F30" i="9"/>
  <c r="E30" i="9"/>
  <c r="K27" i="9"/>
  <c r="F27" i="9"/>
  <c r="E27" i="9"/>
  <c r="K18" i="9"/>
  <c r="F18" i="9"/>
  <c r="E18" i="9"/>
  <c r="K29" i="9"/>
  <c r="F29" i="9"/>
  <c r="E29" i="9"/>
  <c r="K19" i="9"/>
  <c r="F19" i="9"/>
  <c r="E19" i="9"/>
  <c r="K31" i="9"/>
  <c r="F31" i="9"/>
  <c r="E31" i="9"/>
  <c r="K14" i="9"/>
  <c r="F14" i="9"/>
  <c r="E14" i="9"/>
  <c r="K15" i="9"/>
  <c r="F15" i="9"/>
  <c r="E15" i="9"/>
  <c r="K25" i="9"/>
  <c r="F25" i="9"/>
  <c r="E25" i="9"/>
  <c r="K39" i="9"/>
  <c r="F39" i="9"/>
  <c r="E39" i="9"/>
  <c r="K28" i="9"/>
  <c r="F28" i="9"/>
  <c r="E28" i="9"/>
  <c r="K17" i="9"/>
  <c r="F17" i="9"/>
  <c r="E17" i="9"/>
  <c r="K10" i="9"/>
  <c r="F10" i="9"/>
  <c r="E10" i="9"/>
  <c r="K9" i="9"/>
  <c r="F9" i="9"/>
  <c r="E9" i="9"/>
  <c r="K13" i="9"/>
  <c r="F13" i="9"/>
  <c r="E13" i="9"/>
  <c r="K12" i="9"/>
  <c r="F12" i="9"/>
  <c r="E12" i="9"/>
  <c r="K11" i="9"/>
  <c r="F11" i="9"/>
  <c r="E11" i="9"/>
  <c r="K8" i="9"/>
  <c r="F8" i="9"/>
  <c r="E8" i="9"/>
  <c r="K3" i="9"/>
  <c r="F3" i="9"/>
  <c r="E3" i="9"/>
  <c r="K2" i="9"/>
  <c r="F2" i="9"/>
  <c r="E2" i="9"/>
  <c r="C2" i="9" s="1"/>
  <c r="K423" i="8"/>
  <c r="F423" i="8"/>
  <c r="E423" i="8"/>
  <c r="D423" i="8"/>
  <c r="C423" i="8"/>
  <c r="K421" i="8"/>
  <c r="F421" i="8"/>
  <c r="E421" i="8"/>
  <c r="K420" i="8"/>
  <c r="F420" i="8"/>
  <c r="E420" i="8"/>
  <c r="C420" i="8" s="1"/>
  <c r="K419" i="8"/>
  <c r="F419" i="8"/>
  <c r="E419" i="8"/>
  <c r="C419" i="8"/>
  <c r="K418" i="8"/>
  <c r="F418" i="8"/>
  <c r="E418" i="8"/>
  <c r="K417" i="8"/>
  <c r="F417" i="8"/>
  <c r="E417" i="8"/>
  <c r="C418" i="8" s="1"/>
  <c r="D418" i="8" s="1"/>
  <c r="K415" i="8"/>
  <c r="F415" i="8"/>
  <c r="E415" i="8"/>
  <c r="C415" i="8" s="1"/>
  <c r="K414" i="8"/>
  <c r="D415" i="8" s="1"/>
  <c r="F414" i="8"/>
  <c r="E414" i="8"/>
  <c r="C414" i="8"/>
  <c r="K413" i="8"/>
  <c r="F413" i="8"/>
  <c r="E413" i="8"/>
  <c r="K412" i="8"/>
  <c r="F412" i="8"/>
  <c r="E412" i="8"/>
  <c r="K411" i="8"/>
  <c r="F411" i="8"/>
  <c r="E411" i="8"/>
  <c r="C411" i="8" s="1"/>
  <c r="D411" i="8" s="1"/>
  <c r="K408" i="8"/>
  <c r="F408" i="8"/>
  <c r="E408" i="8"/>
  <c r="K407" i="8"/>
  <c r="F407" i="8"/>
  <c r="E407" i="8"/>
  <c r="K406" i="8"/>
  <c r="F406" i="8"/>
  <c r="E406" i="8"/>
  <c r="C407" i="8" s="1"/>
  <c r="K405" i="8"/>
  <c r="F405" i="8"/>
  <c r="E405" i="8"/>
  <c r="C405" i="8" s="1"/>
  <c r="K404" i="8"/>
  <c r="F404" i="8"/>
  <c r="E404" i="8"/>
  <c r="C404" i="8"/>
  <c r="K401" i="8"/>
  <c r="F401" i="8"/>
  <c r="E401" i="8"/>
  <c r="K400" i="8"/>
  <c r="F400" i="8"/>
  <c r="E400" i="8"/>
  <c r="K399" i="8"/>
  <c r="F399" i="8"/>
  <c r="E399" i="8"/>
  <c r="K398" i="8"/>
  <c r="F398" i="8"/>
  <c r="E398" i="8"/>
  <c r="K397" i="8"/>
  <c r="F397" i="8"/>
  <c r="E397" i="8"/>
  <c r="K396" i="8"/>
  <c r="F396" i="8"/>
  <c r="E396" i="8"/>
  <c r="K395" i="8"/>
  <c r="F395" i="8"/>
  <c r="E395" i="8"/>
  <c r="K394" i="8"/>
  <c r="D359" i="8" s="1"/>
  <c r="F394" i="8"/>
  <c r="E394" i="8"/>
  <c r="C394" i="8"/>
  <c r="K393" i="8"/>
  <c r="F393" i="8"/>
  <c r="E393" i="8"/>
  <c r="K392" i="8"/>
  <c r="F392" i="8"/>
  <c r="E392" i="8"/>
  <c r="K391" i="8"/>
  <c r="F391" i="8"/>
  <c r="E391" i="8"/>
  <c r="K390" i="8"/>
  <c r="F390" i="8"/>
  <c r="E390" i="8"/>
  <c r="K389" i="8"/>
  <c r="F389" i="8"/>
  <c r="E389" i="8"/>
  <c r="K388" i="8"/>
  <c r="F388" i="8"/>
  <c r="E388" i="8"/>
  <c r="K387" i="8"/>
  <c r="F387" i="8"/>
  <c r="E387" i="8"/>
  <c r="K386" i="8"/>
  <c r="F386" i="8"/>
  <c r="E386" i="8"/>
  <c r="K385" i="8"/>
  <c r="F385" i="8"/>
  <c r="E385" i="8"/>
  <c r="K384" i="8"/>
  <c r="F384" i="8"/>
  <c r="E384" i="8"/>
  <c r="K383" i="8"/>
  <c r="F383" i="8"/>
  <c r="E383" i="8"/>
  <c r="K382" i="8"/>
  <c r="F382" i="8"/>
  <c r="E382" i="8"/>
  <c r="K381" i="8"/>
  <c r="F381" i="8"/>
  <c r="E381" i="8"/>
  <c r="K380" i="8"/>
  <c r="F380" i="8"/>
  <c r="E380" i="8"/>
  <c r="K379" i="8"/>
  <c r="F379" i="8"/>
  <c r="E379" i="8"/>
  <c r="K378" i="8"/>
  <c r="F378" i="8"/>
  <c r="E378" i="8"/>
  <c r="K377" i="8"/>
  <c r="F377" i="8"/>
  <c r="E377" i="8"/>
  <c r="K376" i="8"/>
  <c r="F376" i="8"/>
  <c r="E376" i="8"/>
  <c r="K375" i="8"/>
  <c r="F375" i="8"/>
  <c r="E375" i="8"/>
  <c r="K374" i="8"/>
  <c r="F374" i="8"/>
  <c r="E374" i="8"/>
  <c r="K373" i="8"/>
  <c r="F373" i="8"/>
  <c r="E373" i="8"/>
  <c r="K372" i="8"/>
  <c r="F372" i="8"/>
  <c r="E372" i="8"/>
  <c r="K371" i="8"/>
  <c r="F371" i="8"/>
  <c r="E371" i="8"/>
  <c r="K370" i="8"/>
  <c r="F370" i="8"/>
  <c r="E370" i="8"/>
  <c r="C370" i="8"/>
  <c r="K369" i="8"/>
  <c r="F369" i="8"/>
  <c r="E369" i="8"/>
  <c r="K368" i="8"/>
  <c r="F368" i="8"/>
  <c r="E368" i="8"/>
  <c r="K367" i="8"/>
  <c r="F367" i="8"/>
  <c r="E367" i="8"/>
  <c r="K366" i="8"/>
  <c r="F366" i="8"/>
  <c r="E366" i="8"/>
  <c r="K365" i="8"/>
  <c r="F365" i="8"/>
  <c r="E365" i="8"/>
  <c r="K364" i="8"/>
  <c r="F364" i="8"/>
  <c r="E364" i="8"/>
  <c r="K363" i="8"/>
  <c r="F363" i="8"/>
  <c r="E363" i="8"/>
  <c r="K362" i="8"/>
  <c r="F362" i="8"/>
  <c r="E362" i="8"/>
  <c r="K361" i="8"/>
  <c r="F361" i="8"/>
  <c r="E361" i="8"/>
  <c r="K360" i="8"/>
  <c r="F360" i="8"/>
  <c r="E360" i="8"/>
  <c r="K359" i="8"/>
  <c r="F359" i="8"/>
  <c r="E359" i="8"/>
  <c r="C359" i="8" s="1"/>
  <c r="K358" i="8"/>
  <c r="F358" i="8"/>
  <c r="E358" i="8"/>
  <c r="K357" i="8"/>
  <c r="F357" i="8"/>
  <c r="E357" i="8"/>
  <c r="K356" i="8"/>
  <c r="F356" i="8"/>
  <c r="E356" i="8"/>
  <c r="K355" i="8"/>
  <c r="F355" i="8"/>
  <c r="E355" i="8"/>
  <c r="K354" i="8"/>
  <c r="F354" i="8"/>
  <c r="E354" i="8"/>
  <c r="K353" i="8"/>
  <c r="F353" i="8"/>
  <c r="E353" i="8"/>
  <c r="K352" i="8"/>
  <c r="F352" i="8"/>
  <c r="E352" i="8"/>
  <c r="K351" i="8"/>
  <c r="F351" i="8"/>
  <c r="E351" i="8"/>
  <c r="K350" i="8"/>
  <c r="F350" i="8"/>
  <c r="E350" i="8"/>
  <c r="K349" i="8"/>
  <c r="F349" i="8"/>
  <c r="E349" i="8"/>
  <c r="K348" i="8"/>
  <c r="F348" i="8"/>
  <c r="E348" i="8"/>
  <c r="K347" i="8"/>
  <c r="F347" i="8"/>
  <c r="E347" i="8"/>
  <c r="K346" i="8"/>
  <c r="F346" i="8"/>
  <c r="E346" i="8"/>
  <c r="K345" i="8"/>
  <c r="F345" i="8"/>
  <c r="E345" i="8"/>
  <c r="K344" i="8"/>
  <c r="F344" i="8"/>
  <c r="E344" i="8"/>
  <c r="K343" i="8"/>
  <c r="F343" i="8"/>
  <c r="E343" i="8"/>
  <c r="K342" i="8"/>
  <c r="F342" i="8"/>
  <c r="E342" i="8"/>
  <c r="K341" i="8"/>
  <c r="F341" i="8"/>
  <c r="E341" i="8"/>
  <c r="K340" i="8"/>
  <c r="F340" i="8"/>
  <c r="E340" i="8"/>
  <c r="K339" i="8"/>
  <c r="F339" i="8"/>
  <c r="E339" i="8"/>
  <c r="K338" i="8"/>
  <c r="F338" i="8"/>
  <c r="E338" i="8"/>
  <c r="C338" i="8"/>
  <c r="K337" i="8"/>
  <c r="F337" i="8"/>
  <c r="E337" i="8"/>
  <c r="K336" i="8"/>
  <c r="F336" i="8"/>
  <c r="E336" i="8"/>
  <c r="K335" i="8"/>
  <c r="F335" i="8"/>
  <c r="E335" i="8"/>
  <c r="K334" i="8"/>
  <c r="F334" i="8"/>
  <c r="E334" i="8"/>
  <c r="K333" i="8"/>
  <c r="F333" i="8"/>
  <c r="E333" i="8"/>
  <c r="K332" i="8"/>
  <c r="F332" i="8"/>
  <c r="E332" i="8"/>
  <c r="K331" i="8"/>
  <c r="F331" i="8"/>
  <c r="E331" i="8"/>
  <c r="K330" i="8"/>
  <c r="F330" i="8"/>
  <c r="E330" i="8"/>
  <c r="K329" i="8"/>
  <c r="F329" i="8"/>
  <c r="E329" i="8"/>
  <c r="K328" i="8"/>
  <c r="F328" i="8"/>
  <c r="E328" i="8"/>
  <c r="K327" i="8"/>
  <c r="F327" i="8"/>
  <c r="E327" i="8"/>
  <c r="K326" i="8"/>
  <c r="F326" i="8"/>
  <c r="E326" i="8"/>
  <c r="K325" i="8"/>
  <c r="F325" i="8"/>
  <c r="E325" i="8"/>
  <c r="K324" i="8"/>
  <c r="F324" i="8"/>
  <c r="E324" i="8"/>
  <c r="K323" i="8"/>
  <c r="F323" i="8"/>
  <c r="E323" i="8"/>
  <c r="K322" i="8"/>
  <c r="F322" i="8"/>
  <c r="E322" i="8"/>
  <c r="K321" i="8"/>
  <c r="F321" i="8"/>
  <c r="E321" i="8"/>
  <c r="K320" i="8"/>
  <c r="F320" i="8"/>
  <c r="E320" i="8"/>
  <c r="K319" i="8"/>
  <c r="F319" i="8"/>
  <c r="E319" i="8"/>
  <c r="K318" i="8"/>
  <c r="F318" i="8"/>
  <c r="E318" i="8"/>
  <c r="K317" i="8"/>
  <c r="F317" i="8"/>
  <c r="E317" i="8"/>
  <c r="K316" i="8"/>
  <c r="F316" i="8"/>
  <c r="E316" i="8"/>
  <c r="K315" i="8"/>
  <c r="F315" i="8"/>
  <c r="E315" i="8"/>
  <c r="K314" i="8"/>
  <c r="F314" i="8"/>
  <c r="E314" i="8"/>
  <c r="K313" i="8"/>
  <c r="F313" i="8"/>
  <c r="E313" i="8"/>
  <c r="K312" i="8"/>
  <c r="F312" i="8"/>
  <c r="E312" i="8"/>
  <c r="K311" i="8"/>
  <c r="F311" i="8"/>
  <c r="E311" i="8"/>
  <c r="K310" i="8"/>
  <c r="F310" i="8"/>
  <c r="E310" i="8"/>
  <c r="K309" i="8"/>
  <c r="F309" i="8"/>
  <c r="E309" i="8"/>
  <c r="K308" i="8"/>
  <c r="F308" i="8"/>
  <c r="E308" i="8"/>
  <c r="K307" i="8"/>
  <c r="F307" i="8"/>
  <c r="E307" i="8"/>
  <c r="K306" i="8"/>
  <c r="F306" i="8"/>
  <c r="E306" i="8"/>
  <c r="K305" i="8"/>
  <c r="F305" i="8"/>
  <c r="E305" i="8"/>
  <c r="K304" i="8"/>
  <c r="F304" i="8"/>
  <c r="E304" i="8"/>
  <c r="K303" i="8"/>
  <c r="F303" i="8"/>
  <c r="E303" i="8"/>
  <c r="K302" i="8"/>
  <c r="F302" i="8"/>
  <c r="E302" i="8"/>
  <c r="K301" i="8"/>
  <c r="F301" i="8"/>
  <c r="E301" i="8"/>
  <c r="K300" i="8"/>
  <c r="F300" i="8"/>
  <c r="E300" i="8"/>
  <c r="K299" i="8"/>
  <c r="F299" i="8"/>
  <c r="E299" i="8"/>
  <c r="K298" i="8"/>
  <c r="F298" i="8"/>
  <c r="E298" i="8"/>
  <c r="K297" i="8"/>
  <c r="F297" i="8"/>
  <c r="E297" i="8"/>
  <c r="K296" i="8"/>
  <c r="F296" i="8"/>
  <c r="E296" i="8"/>
  <c r="K295" i="8"/>
  <c r="F295" i="8"/>
  <c r="E295" i="8"/>
  <c r="K294" i="8"/>
  <c r="F294" i="8"/>
  <c r="E294" i="8"/>
  <c r="K293" i="8"/>
  <c r="F293" i="8"/>
  <c r="E293" i="8"/>
  <c r="K292" i="8"/>
  <c r="F292" i="8"/>
  <c r="E292" i="8"/>
  <c r="K291" i="8"/>
  <c r="F291" i="8"/>
  <c r="E291" i="8"/>
  <c r="K290" i="8"/>
  <c r="F290" i="8"/>
  <c r="E290" i="8"/>
  <c r="K289" i="8"/>
  <c r="F289" i="8"/>
  <c r="E289" i="8"/>
  <c r="K288" i="8"/>
  <c r="F288" i="8"/>
  <c r="E288" i="8"/>
  <c r="K287" i="8"/>
  <c r="F287" i="8"/>
  <c r="E287" i="8"/>
  <c r="K286" i="8"/>
  <c r="F286" i="8"/>
  <c r="E286" i="8"/>
  <c r="K285" i="8"/>
  <c r="F285" i="8"/>
  <c r="E285" i="8"/>
  <c r="K284" i="8"/>
  <c r="F284" i="8"/>
  <c r="E284" i="8"/>
  <c r="K283" i="8"/>
  <c r="F283" i="8"/>
  <c r="E283" i="8"/>
  <c r="K282" i="8"/>
  <c r="F282" i="8"/>
  <c r="E282" i="8"/>
  <c r="K281" i="8"/>
  <c r="F281" i="8"/>
  <c r="E281" i="8"/>
  <c r="K280" i="8"/>
  <c r="F280" i="8"/>
  <c r="E280" i="8"/>
  <c r="K279" i="8"/>
  <c r="F279" i="8"/>
  <c r="E279" i="8"/>
  <c r="K278" i="8"/>
  <c r="F278" i="8"/>
  <c r="E278" i="8"/>
  <c r="K277" i="8"/>
  <c r="F277" i="8"/>
  <c r="E277" i="8"/>
  <c r="K276" i="8"/>
  <c r="F276" i="8"/>
  <c r="E276" i="8"/>
  <c r="K275" i="8"/>
  <c r="F275" i="8"/>
  <c r="E275" i="8"/>
  <c r="K274" i="8"/>
  <c r="F274" i="8"/>
  <c r="E274" i="8"/>
  <c r="K273" i="8"/>
  <c r="F273" i="8"/>
  <c r="E273" i="8"/>
  <c r="K272" i="8"/>
  <c r="F272" i="8"/>
  <c r="E272" i="8"/>
  <c r="K271" i="8"/>
  <c r="F271" i="8"/>
  <c r="E271" i="8"/>
  <c r="K270" i="8"/>
  <c r="F270" i="8"/>
  <c r="E270" i="8"/>
  <c r="K269" i="8"/>
  <c r="F269" i="8"/>
  <c r="E269" i="8"/>
  <c r="K268" i="8"/>
  <c r="F268" i="8"/>
  <c r="E268" i="8"/>
  <c r="K267" i="8"/>
  <c r="F267" i="8"/>
  <c r="E267" i="8"/>
  <c r="K266" i="8"/>
  <c r="F266" i="8"/>
  <c r="E266" i="8"/>
  <c r="K265" i="8"/>
  <c r="F265" i="8"/>
  <c r="E265" i="8"/>
  <c r="K264" i="8"/>
  <c r="F264" i="8"/>
  <c r="E264" i="8"/>
  <c r="K263" i="8"/>
  <c r="F263" i="8"/>
  <c r="E263" i="8"/>
  <c r="K262" i="8"/>
  <c r="F262" i="8"/>
  <c r="E262" i="8"/>
  <c r="K261" i="8"/>
  <c r="F261" i="8"/>
  <c r="E261" i="8"/>
  <c r="K260" i="8"/>
  <c r="F260" i="8"/>
  <c r="E260" i="8"/>
  <c r="K259" i="8"/>
  <c r="F259" i="8"/>
  <c r="E259" i="8"/>
  <c r="K258" i="8"/>
  <c r="F258" i="8"/>
  <c r="E258" i="8"/>
  <c r="K257" i="8"/>
  <c r="F257" i="8"/>
  <c r="E257" i="8"/>
  <c r="K256" i="8"/>
  <c r="F256" i="8"/>
  <c r="E256" i="8"/>
  <c r="K255" i="8"/>
  <c r="F255" i="8"/>
  <c r="E255" i="8"/>
  <c r="K254" i="8"/>
  <c r="F254" i="8"/>
  <c r="E254" i="8"/>
  <c r="K253" i="8"/>
  <c r="F253" i="8"/>
  <c r="E253" i="8"/>
  <c r="K252" i="8"/>
  <c r="F252" i="8"/>
  <c r="E252" i="8"/>
  <c r="K251" i="8"/>
  <c r="F251" i="8"/>
  <c r="E251" i="8"/>
  <c r="K250" i="8"/>
  <c r="F250" i="8"/>
  <c r="E250" i="8"/>
  <c r="K249" i="8"/>
  <c r="F249" i="8"/>
  <c r="E249" i="8"/>
  <c r="K248" i="8"/>
  <c r="F248" i="8"/>
  <c r="E248" i="8"/>
  <c r="K247" i="8"/>
  <c r="F247" i="8"/>
  <c r="E247" i="8"/>
  <c r="K246" i="8"/>
  <c r="F246" i="8"/>
  <c r="E246" i="8"/>
  <c r="K245" i="8"/>
  <c r="F245" i="8"/>
  <c r="E245" i="8"/>
  <c r="K244" i="8"/>
  <c r="F244" i="8"/>
  <c r="E244" i="8"/>
  <c r="K243" i="8"/>
  <c r="F243" i="8"/>
  <c r="E243" i="8"/>
  <c r="K242" i="8"/>
  <c r="F242" i="8"/>
  <c r="E242" i="8"/>
  <c r="K241" i="8"/>
  <c r="F241" i="8"/>
  <c r="E241" i="8"/>
  <c r="K240" i="8"/>
  <c r="F240" i="8"/>
  <c r="E240" i="8"/>
  <c r="K239" i="8"/>
  <c r="F239" i="8"/>
  <c r="E239" i="8"/>
  <c r="K238" i="8"/>
  <c r="F238" i="8"/>
  <c r="E238" i="8"/>
  <c r="K237" i="8"/>
  <c r="F237" i="8"/>
  <c r="E237" i="8"/>
  <c r="K236" i="8"/>
  <c r="F236" i="8"/>
  <c r="E236" i="8"/>
  <c r="K235" i="8"/>
  <c r="F235" i="8"/>
  <c r="E235" i="8"/>
  <c r="K234" i="8"/>
  <c r="F234" i="8"/>
  <c r="E234" i="8"/>
  <c r="K233" i="8"/>
  <c r="F233" i="8"/>
  <c r="E233" i="8"/>
  <c r="K232" i="8"/>
  <c r="F232" i="8"/>
  <c r="E232" i="8"/>
  <c r="K231" i="8"/>
  <c r="F231" i="8"/>
  <c r="E231" i="8"/>
  <c r="K230" i="8"/>
  <c r="F230" i="8"/>
  <c r="E230" i="8"/>
  <c r="K229" i="8"/>
  <c r="F229" i="8"/>
  <c r="E229" i="8"/>
  <c r="K228" i="8"/>
  <c r="F228" i="8"/>
  <c r="E228" i="8"/>
  <c r="K227" i="8"/>
  <c r="F227" i="8"/>
  <c r="E227" i="8"/>
  <c r="K226" i="8"/>
  <c r="F226" i="8"/>
  <c r="E226" i="8"/>
  <c r="K225" i="8"/>
  <c r="F225" i="8"/>
  <c r="E225" i="8"/>
  <c r="K224" i="8"/>
  <c r="F224" i="8"/>
  <c r="E224" i="8"/>
  <c r="K223" i="8"/>
  <c r="F223" i="8"/>
  <c r="E223" i="8"/>
  <c r="K222" i="8"/>
  <c r="F222" i="8"/>
  <c r="E222" i="8"/>
  <c r="K221" i="8"/>
  <c r="F221" i="8"/>
  <c r="E221" i="8"/>
  <c r="K220" i="8"/>
  <c r="F220" i="8"/>
  <c r="E220" i="8"/>
  <c r="K219" i="8"/>
  <c r="F219" i="8"/>
  <c r="E219" i="8"/>
  <c r="K218" i="8"/>
  <c r="F218" i="8"/>
  <c r="E218" i="8"/>
  <c r="K217" i="8"/>
  <c r="F217" i="8"/>
  <c r="E217" i="8"/>
  <c r="K216" i="8"/>
  <c r="F216" i="8"/>
  <c r="E216" i="8"/>
  <c r="K215" i="8"/>
  <c r="F215" i="8"/>
  <c r="E215" i="8"/>
  <c r="K214" i="8"/>
  <c r="F214" i="8"/>
  <c r="E214" i="8"/>
  <c r="K213" i="8"/>
  <c r="F213" i="8"/>
  <c r="E213" i="8"/>
  <c r="K212" i="8"/>
  <c r="F212" i="8"/>
  <c r="E212" i="8"/>
  <c r="K211" i="8"/>
  <c r="F211" i="8"/>
  <c r="E211" i="8"/>
  <c r="K210" i="8"/>
  <c r="F210" i="8"/>
  <c r="E210" i="8"/>
  <c r="K209" i="8"/>
  <c r="F209" i="8"/>
  <c r="E209" i="8"/>
  <c r="K208" i="8"/>
  <c r="F208" i="8"/>
  <c r="E208" i="8"/>
  <c r="K207" i="8"/>
  <c r="F207" i="8"/>
  <c r="E207" i="8"/>
  <c r="K206" i="8"/>
  <c r="F206" i="8"/>
  <c r="E206" i="8"/>
  <c r="K205" i="8"/>
  <c r="F205" i="8"/>
  <c r="E205" i="8"/>
  <c r="K204" i="8"/>
  <c r="F204" i="8"/>
  <c r="E204" i="8"/>
  <c r="K203" i="8"/>
  <c r="F203" i="8"/>
  <c r="E203" i="8"/>
  <c r="K202" i="8"/>
  <c r="F202" i="8"/>
  <c r="E202" i="8"/>
  <c r="K201" i="8"/>
  <c r="F201" i="8"/>
  <c r="E201" i="8"/>
  <c r="K200" i="8"/>
  <c r="F200" i="8"/>
  <c r="E200" i="8"/>
  <c r="K199" i="8"/>
  <c r="F199" i="8"/>
  <c r="E199" i="8"/>
  <c r="K198" i="8"/>
  <c r="F198" i="8"/>
  <c r="E198" i="8"/>
  <c r="K197" i="8"/>
  <c r="F197" i="8"/>
  <c r="E197" i="8"/>
  <c r="K196" i="8"/>
  <c r="F196" i="8"/>
  <c r="E196" i="8"/>
  <c r="K195" i="8"/>
  <c r="F195" i="8"/>
  <c r="E195" i="8"/>
  <c r="K194" i="8"/>
  <c r="F194" i="8"/>
  <c r="E194" i="8"/>
  <c r="K193" i="8"/>
  <c r="F193" i="8"/>
  <c r="E193" i="8"/>
  <c r="K192" i="8"/>
  <c r="F192" i="8"/>
  <c r="E192" i="8"/>
  <c r="K191" i="8"/>
  <c r="F191" i="8"/>
  <c r="E191" i="8"/>
  <c r="K190" i="8"/>
  <c r="F190" i="8"/>
  <c r="E190" i="8"/>
  <c r="K189" i="8"/>
  <c r="F189" i="8"/>
  <c r="E189" i="8"/>
  <c r="K188" i="8"/>
  <c r="F188" i="8"/>
  <c r="E188" i="8"/>
  <c r="K187" i="8"/>
  <c r="F187" i="8"/>
  <c r="E187" i="8"/>
  <c r="K186" i="8"/>
  <c r="F186" i="8"/>
  <c r="E186" i="8"/>
  <c r="K185" i="8"/>
  <c r="F185" i="8"/>
  <c r="E185" i="8"/>
  <c r="K184" i="8"/>
  <c r="F184" i="8"/>
  <c r="E184" i="8"/>
  <c r="K183" i="8"/>
  <c r="F183" i="8"/>
  <c r="E183" i="8"/>
  <c r="K182" i="8"/>
  <c r="F182" i="8"/>
  <c r="E182" i="8"/>
  <c r="K181" i="8"/>
  <c r="F181" i="8"/>
  <c r="E181" i="8"/>
  <c r="K180" i="8"/>
  <c r="F180" i="8"/>
  <c r="E180" i="8"/>
  <c r="K179" i="8"/>
  <c r="F179" i="8"/>
  <c r="E179" i="8"/>
  <c r="K178" i="8"/>
  <c r="F178" i="8"/>
  <c r="E178" i="8"/>
  <c r="K177" i="8"/>
  <c r="F177" i="8"/>
  <c r="E177" i="8"/>
  <c r="K176" i="8"/>
  <c r="F176" i="8"/>
  <c r="E176" i="8"/>
  <c r="K175" i="8"/>
  <c r="F175" i="8"/>
  <c r="E175" i="8"/>
  <c r="K174" i="8"/>
  <c r="F174" i="8"/>
  <c r="E174" i="8"/>
  <c r="K173" i="8"/>
  <c r="F173" i="8"/>
  <c r="E173" i="8"/>
  <c r="K172" i="8"/>
  <c r="F172" i="8"/>
  <c r="E172" i="8"/>
  <c r="K171" i="8"/>
  <c r="F171" i="8"/>
  <c r="E171" i="8"/>
  <c r="K170" i="8"/>
  <c r="F170" i="8"/>
  <c r="E170" i="8"/>
  <c r="K169" i="8"/>
  <c r="F169" i="8"/>
  <c r="E169" i="8"/>
  <c r="K168" i="8"/>
  <c r="F168" i="8"/>
  <c r="E168" i="8"/>
  <c r="K167" i="8"/>
  <c r="F167" i="8"/>
  <c r="E167" i="8"/>
  <c r="K166" i="8"/>
  <c r="F166" i="8"/>
  <c r="E166" i="8"/>
  <c r="K165" i="8"/>
  <c r="F165" i="8"/>
  <c r="E165" i="8"/>
  <c r="K164" i="8"/>
  <c r="F164" i="8"/>
  <c r="E164" i="8"/>
  <c r="K163" i="8"/>
  <c r="F163" i="8"/>
  <c r="E163" i="8"/>
  <c r="K162" i="8"/>
  <c r="F162" i="8"/>
  <c r="E162" i="8"/>
  <c r="K161" i="8"/>
  <c r="F161" i="8"/>
  <c r="E161" i="8"/>
  <c r="K160" i="8"/>
  <c r="F160" i="8"/>
  <c r="E160" i="8"/>
  <c r="K159" i="8"/>
  <c r="F159" i="8"/>
  <c r="E159" i="8"/>
  <c r="K158" i="8"/>
  <c r="F158" i="8"/>
  <c r="E158" i="8"/>
  <c r="K157" i="8"/>
  <c r="F157" i="8"/>
  <c r="E157" i="8"/>
  <c r="K156" i="8"/>
  <c r="F156" i="8"/>
  <c r="E156" i="8"/>
  <c r="K155" i="8"/>
  <c r="F155" i="8"/>
  <c r="E155" i="8"/>
  <c r="K154" i="8"/>
  <c r="F154" i="8"/>
  <c r="E154" i="8"/>
  <c r="K153" i="8"/>
  <c r="F153" i="8"/>
  <c r="E153" i="8"/>
  <c r="K152" i="8"/>
  <c r="F152" i="8"/>
  <c r="E152" i="8"/>
  <c r="K151" i="8"/>
  <c r="F151" i="8"/>
  <c r="E151" i="8"/>
  <c r="K150" i="8"/>
  <c r="F150" i="8"/>
  <c r="E150" i="8"/>
  <c r="K149" i="8"/>
  <c r="F149" i="8"/>
  <c r="E149" i="8"/>
  <c r="K148" i="8"/>
  <c r="F148" i="8"/>
  <c r="E148" i="8"/>
  <c r="K147" i="8"/>
  <c r="F147" i="8"/>
  <c r="E147" i="8"/>
  <c r="K146" i="8"/>
  <c r="F146" i="8"/>
  <c r="E146" i="8"/>
  <c r="K145" i="8"/>
  <c r="F145" i="8"/>
  <c r="E145" i="8"/>
  <c r="K144" i="8"/>
  <c r="F144" i="8"/>
  <c r="E144" i="8"/>
  <c r="K143" i="8"/>
  <c r="F143" i="8"/>
  <c r="E143" i="8"/>
  <c r="K142" i="8"/>
  <c r="F142" i="8"/>
  <c r="E142" i="8"/>
  <c r="K141" i="8"/>
  <c r="F141" i="8"/>
  <c r="E141" i="8"/>
  <c r="K140" i="8"/>
  <c r="F140" i="8"/>
  <c r="E140" i="8"/>
  <c r="K139" i="8"/>
  <c r="F139" i="8"/>
  <c r="E139" i="8"/>
  <c r="K138" i="8"/>
  <c r="F138" i="8"/>
  <c r="E138" i="8"/>
  <c r="K137" i="8"/>
  <c r="F137" i="8"/>
  <c r="E137" i="8"/>
  <c r="K136" i="8"/>
  <c r="F136" i="8"/>
  <c r="E136" i="8"/>
  <c r="K135" i="8"/>
  <c r="F135" i="8"/>
  <c r="E135" i="8"/>
  <c r="K134" i="8"/>
  <c r="F134" i="8"/>
  <c r="E134" i="8"/>
  <c r="K133" i="8"/>
  <c r="F133" i="8"/>
  <c r="E133" i="8"/>
  <c r="K132" i="8"/>
  <c r="F132" i="8"/>
  <c r="E132" i="8"/>
  <c r="K131" i="8"/>
  <c r="F131" i="8"/>
  <c r="E131" i="8"/>
  <c r="K130" i="8"/>
  <c r="F130" i="8"/>
  <c r="E130" i="8"/>
  <c r="K129" i="8"/>
  <c r="F129" i="8"/>
  <c r="E129" i="8"/>
  <c r="K128" i="8"/>
  <c r="F128" i="8"/>
  <c r="E128" i="8"/>
  <c r="K127" i="8"/>
  <c r="F127" i="8"/>
  <c r="E127" i="8"/>
  <c r="K126" i="8"/>
  <c r="F126" i="8"/>
  <c r="E126" i="8"/>
  <c r="K125" i="8"/>
  <c r="F125" i="8"/>
  <c r="E125" i="8"/>
  <c r="K124" i="8"/>
  <c r="F124" i="8"/>
  <c r="E124" i="8"/>
  <c r="K123" i="8"/>
  <c r="F123" i="8"/>
  <c r="E123" i="8"/>
  <c r="K122" i="8"/>
  <c r="F122" i="8"/>
  <c r="E122" i="8"/>
  <c r="K121" i="8"/>
  <c r="F121" i="8"/>
  <c r="E121" i="8"/>
  <c r="K120" i="8"/>
  <c r="F120" i="8"/>
  <c r="E120" i="8"/>
  <c r="K119" i="8"/>
  <c r="F119" i="8"/>
  <c r="E119" i="8"/>
  <c r="K118" i="8"/>
  <c r="F118" i="8"/>
  <c r="E118" i="8"/>
  <c r="K117" i="8"/>
  <c r="F117" i="8"/>
  <c r="E117" i="8"/>
  <c r="C117" i="8" s="1"/>
  <c r="K116" i="8"/>
  <c r="F116" i="8"/>
  <c r="E116" i="8"/>
  <c r="K115" i="8"/>
  <c r="F115" i="8"/>
  <c r="E115" i="8"/>
  <c r="K114" i="8"/>
  <c r="F114" i="8"/>
  <c r="E114" i="8"/>
  <c r="K113" i="8"/>
  <c r="F113" i="8"/>
  <c r="E113" i="8"/>
  <c r="K112" i="8"/>
  <c r="F112" i="8"/>
  <c r="E112" i="8"/>
  <c r="K111" i="8"/>
  <c r="F111" i="8"/>
  <c r="E111" i="8"/>
  <c r="K110" i="8"/>
  <c r="F110" i="8"/>
  <c r="E110" i="8"/>
  <c r="K109" i="8"/>
  <c r="F109" i="8"/>
  <c r="E109" i="8"/>
  <c r="K108" i="8"/>
  <c r="F108" i="8"/>
  <c r="E108" i="8"/>
  <c r="K107" i="8"/>
  <c r="F107" i="8"/>
  <c r="E107" i="8"/>
  <c r="K106" i="8"/>
  <c r="F106" i="8"/>
  <c r="E106" i="8"/>
  <c r="K105" i="8"/>
  <c r="F105" i="8"/>
  <c r="E105" i="8"/>
  <c r="K104" i="8"/>
  <c r="F104" i="8"/>
  <c r="E104" i="8"/>
  <c r="K103" i="8"/>
  <c r="F103" i="8"/>
  <c r="E103" i="8"/>
  <c r="K102" i="8"/>
  <c r="F102" i="8"/>
  <c r="E102" i="8"/>
  <c r="K101" i="8"/>
  <c r="F101" i="8"/>
  <c r="E101" i="8"/>
  <c r="K100" i="8"/>
  <c r="F100" i="8"/>
  <c r="E100" i="8"/>
  <c r="K99" i="8"/>
  <c r="F99" i="8"/>
  <c r="E99" i="8"/>
  <c r="K98" i="8"/>
  <c r="F98" i="8"/>
  <c r="E98" i="8"/>
  <c r="K97" i="8"/>
  <c r="F97" i="8"/>
  <c r="E97" i="8"/>
  <c r="K96" i="8"/>
  <c r="F96" i="8"/>
  <c r="E96" i="8"/>
  <c r="K95" i="8"/>
  <c r="F95" i="8"/>
  <c r="E95" i="8"/>
  <c r="K94" i="8"/>
  <c r="F94" i="8"/>
  <c r="E94" i="8"/>
  <c r="K93" i="8"/>
  <c r="F93" i="8"/>
  <c r="E93" i="8"/>
  <c r="K92" i="8"/>
  <c r="F92" i="8"/>
  <c r="E92" i="8"/>
  <c r="K91" i="8"/>
  <c r="F91" i="8"/>
  <c r="E91" i="8"/>
  <c r="K90" i="8"/>
  <c r="F90" i="8"/>
  <c r="E90" i="8"/>
  <c r="K89" i="8"/>
  <c r="F89" i="8"/>
  <c r="E89" i="8"/>
  <c r="K88" i="8"/>
  <c r="F88" i="8"/>
  <c r="E88" i="8"/>
  <c r="K87" i="8"/>
  <c r="F87" i="8"/>
  <c r="E87" i="8"/>
  <c r="K86" i="8"/>
  <c r="F86" i="8"/>
  <c r="E86" i="8"/>
  <c r="K85" i="8"/>
  <c r="F85" i="8"/>
  <c r="E85" i="8"/>
  <c r="K84" i="8"/>
  <c r="F84" i="8"/>
  <c r="E84" i="8"/>
  <c r="K83" i="8"/>
  <c r="F83" i="8"/>
  <c r="E83" i="8"/>
  <c r="K82" i="8"/>
  <c r="F82" i="8"/>
  <c r="E82" i="8"/>
  <c r="K81" i="8"/>
  <c r="F81" i="8"/>
  <c r="E81" i="8"/>
  <c r="K80" i="8"/>
  <c r="F80" i="8"/>
  <c r="E80" i="8"/>
  <c r="K79" i="8"/>
  <c r="F79" i="8"/>
  <c r="E79" i="8"/>
  <c r="K78" i="8"/>
  <c r="F78" i="8"/>
  <c r="E78" i="8"/>
  <c r="K77" i="8"/>
  <c r="F77" i="8"/>
  <c r="E77" i="8"/>
  <c r="K76" i="8"/>
  <c r="F76" i="8"/>
  <c r="E76" i="8"/>
  <c r="K75" i="8"/>
  <c r="F75" i="8"/>
  <c r="E75" i="8"/>
  <c r="K74" i="8"/>
  <c r="F74" i="8"/>
  <c r="E74" i="8"/>
  <c r="K73" i="8"/>
  <c r="F73" i="8"/>
  <c r="E73" i="8"/>
  <c r="K72" i="8"/>
  <c r="F72" i="8"/>
  <c r="E72" i="8"/>
  <c r="K71" i="8"/>
  <c r="F71" i="8"/>
  <c r="E71" i="8"/>
  <c r="K70" i="8"/>
  <c r="F70" i="8"/>
  <c r="E70" i="8"/>
  <c r="K69" i="8"/>
  <c r="F69" i="8"/>
  <c r="E69" i="8"/>
  <c r="K68" i="8"/>
  <c r="F68" i="8"/>
  <c r="E68" i="8"/>
  <c r="K67" i="8"/>
  <c r="F67" i="8"/>
  <c r="E67" i="8"/>
  <c r="K66" i="8"/>
  <c r="F66" i="8"/>
  <c r="E66" i="8"/>
  <c r="K65" i="8"/>
  <c r="F65" i="8"/>
  <c r="E65" i="8"/>
  <c r="K64" i="8"/>
  <c r="D64" i="8" s="1"/>
  <c r="F64" i="8"/>
  <c r="E64" i="8"/>
  <c r="C64" i="8"/>
  <c r="C65" i="8" s="1"/>
  <c r="K63" i="8"/>
  <c r="F63" i="8"/>
  <c r="E63" i="8"/>
  <c r="K62" i="8"/>
  <c r="F62" i="8"/>
  <c r="E62" i="8"/>
  <c r="K61" i="8"/>
  <c r="F61" i="8"/>
  <c r="E61" i="8"/>
  <c r="K60" i="8"/>
  <c r="F60" i="8"/>
  <c r="E60" i="8"/>
  <c r="K59" i="8"/>
  <c r="F59" i="8"/>
  <c r="E59" i="8"/>
  <c r="K58" i="8"/>
  <c r="F58" i="8"/>
  <c r="E58" i="8"/>
  <c r="K57" i="8"/>
  <c r="F57" i="8"/>
  <c r="E57" i="8"/>
  <c r="K56" i="8"/>
  <c r="F56" i="8"/>
  <c r="E56" i="8"/>
  <c r="K55" i="8"/>
  <c r="F55" i="8"/>
  <c r="E55" i="8"/>
  <c r="K54" i="8"/>
  <c r="F54" i="8"/>
  <c r="E54" i="8"/>
  <c r="K53" i="8"/>
  <c r="F53" i="8"/>
  <c r="E53" i="8"/>
  <c r="K52" i="8"/>
  <c r="F52" i="8"/>
  <c r="E52" i="8"/>
  <c r="K51" i="8"/>
  <c r="F51" i="8"/>
  <c r="E51" i="8"/>
  <c r="K50" i="8"/>
  <c r="F50" i="8"/>
  <c r="E50" i="8"/>
  <c r="K49" i="8"/>
  <c r="F49" i="8"/>
  <c r="E49" i="8"/>
  <c r="K48" i="8"/>
  <c r="F48" i="8"/>
  <c r="E48" i="8"/>
  <c r="K47" i="8"/>
  <c r="F47" i="8"/>
  <c r="E47" i="8"/>
  <c r="K46" i="8"/>
  <c r="F46" i="8"/>
  <c r="E46" i="8"/>
  <c r="K45" i="8"/>
  <c r="F45" i="8"/>
  <c r="E45" i="8"/>
  <c r="K44" i="8"/>
  <c r="F44" i="8"/>
  <c r="E44" i="8"/>
  <c r="K43" i="8"/>
  <c r="F43" i="8"/>
  <c r="E43" i="8"/>
  <c r="K42" i="8"/>
  <c r="F42" i="8"/>
  <c r="E42" i="8"/>
  <c r="K41" i="8"/>
  <c r="F41" i="8"/>
  <c r="E41" i="8"/>
  <c r="K40" i="8"/>
  <c r="F40" i="8"/>
  <c r="E40" i="8"/>
  <c r="K39" i="8"/>
  <c r="F39" i="8"/>
  <c r="E39" i="8"/>
  <c r="K38" i="8"/>
  <c r="F38" i="8"/>
  <c r="E38" i="8"/>
  <c r="K37" i="8"/>
  <c r="F37" i="8"/>
  <c r="E37" i="8"/>
  <c r="K36" i="8"/>
  <c r="F36" i="8"/>
  <c r="E36" i="8"/>
  <c r="K35" i="8"/>
  <c r="F35" i="8"/>
  <c r="E35" i="8"/>
  <c r="K34" i="8"/>
  <c r="F34" i="8"/>
  <c r="E34" i="8"/>
  <c r="K33" i="8"/>
  <c r="F33" i="8"/>
  <c r="E33" i="8"/>
  <c r="K32" i="8"/>
  <c r="F32" i="8"/>
  <c r="E32" i="8"/>
  <c r="K31" i="8"/>
  <c r="F31" i="8"/>
  <c r="E31" i="8"/>
  <c r="K30" i="8"/>
  <c r="F30" i="8"/>
  <c r="E30" i="8"/>
  <c r="K29" i="8"/>
  <c r="F29" i="8"/>
  <c r="E29" i="8"/>
  <c r="K28" i="8"/>
  <c r="F28" i="8"/>
  <c r="E28" i="8"/>
  <c r="K27" i="8"/>
  <c r="F27" i="8"/>
  <c r="E27" i="8"/>
  <c r="K26" i="8"/>
  <c r="F26" i="8"/>
  <c r="E26" i="8"/>
  <c r="K25" i="8"/>
  <c r="F25" i="8"/>
  <c r="E25" i="8"/>
  <c r="K24" i="8"/>
  <c r="F24" i="8"/>
  <c r="E24" i="8"/>
  <c r="K23" i="8"/>
  <c r="F23" i="8"/>
  <c r="E23" i="8"/>
  <c r="K22" i="8"/>
  <c r="F22" i="8"/>
  <c r="E22" i="8"/>
  <c r="K21" i="8"/>
  <c r="F21" i="8"/>
  <c r="E21" i="8"/>
  <c r="K20" i="8"/>
  <c r="F20" i="8"/>
  <c r="E20" i="8"/>
  <c r="K19" i="8"/>
  <c r="F19" i="8"/>
  <c r="E19" i="8"/>
  <c r="K18" i="8"/>
  <c r="F18" i="8"/>
  <c r="E18" i="8"/>
  <c r="K17" i="8"/>
  <c r="F17" i="8"/>
  <c r="E17" i="8"/>
  <c r="K16" i="8"/>
  <c r="F16" i="8"/>
  <c r="E16" i="8"/>
  <c r="K15" i="8"/>
  <c r="F15" i="8"/>
  <c r="E15" i="8"/>
  <c r="K14" i="8"/>
  <c r="F14" i="8"/>
  <c r="E14" i="8"/>
  <c r="K13" i="8"/>
  <c r="F13" i="8"/>
  <c r="E13" i="8"/>
  <c r="K12" i="8"/>
  <c r="F12" i="8"/>
  <c r="E12" i="8"/>
  <c r="K11" i="8"/>
  <c r="F11" i="8"/>
  <c r="E11" i="8"/>
  <c r="K10" i="8"/>
  <c r="F10" i="8"/>
  <c r="E10" i="8"/>
  <c r="K9" i="8"/>
  <c r="F9" i="8"/>
  <c r="E9" i="8"/>
  <c r="K8" i="8"/>
  <c r="F8" i="8"/>
  <c r="E8" i="8"/>
  <c r="K7" i="8"/>
  <c r="F7" i="8"/>
  <c r="E7" i="8"/>
  <c r="C7" i="8" s="1"/>
  <c r="K6" i="8"/>
  <c r="F6" i="8"/>
  <c r="E6" i="8"/>
  <c r="K5" i="8"/>
  <c r="F5" i="8"/>
  <c r="E5" i="8"/>
  <c r="K4" i="8"/>
  <c r="F4" i="8"/>
  <c r="E4" i="8"/>
  <c r="K3" i="8"/>
  <c r="F3" i="8"/>
  <c r="E3" i="8"/>
  <c r="C3" i="8" s="1"/>
  <c r="K2" i="8"/>
  <c r="F2" i="8"/>
  <c r="E2" i="8"/>
  <c r="C2" i="8"/>
  <c r="D2" i="8" s="1"/>
  <c r="J2" i="3"/>
  <c r="K423" i="3"/>
  <c r="F423" i="3"/>
  <c r="E423" i="3"/>
  <c r="C423" i="3" s="1"/>
  <c r="K421" i="3"/>
  <c r="F421" i="3"/>
  <c r="E421" i="3"/>
  <c r="K420" i="3"/>
  <c r="D420" i="3" s="1"/>
  <c r="F420" i="3"/>
  <c r="E420" i="3"/>
  <c r="C420" i="3" s="1"/>
  <c r="C421" i="3" s="1"/>
  <c r="D421" i="3" s="1"/>
  <c r="K419" i="3"/>
  <c r="D419" i="3" s="1"/>
  <c r="F419" i="3"/>
  <c r="E419" i="3"/>
  <c r="C419" i="3"/>
  <c r="K418" i="3"/>
  <c r="F418" i="3"/>
  <c r="E418" i="3"/>
  <c r="K417" i="3"/>
  <c r="F417" i="3"/>
  <c r="E417" i="3"/>
  <c r="C418" i="3" s="1"/>
  <c r="K415" i="3"/>
  <c r="F415" i="3"/>
  <c r="E415" i="3"/>
  <c r="K414" i="3"/>
  <c r="D414" i="3" s="1"/>
  <c r="F414" i="3"/>
  <c r="E414" i="3"/>
  <c r="K413" i="3"/>
  <c r="F413" i="3"/>
  <c r="E413" i="3"/>
  <c r="C414" i="3" s="1"/>
  <c r="K412" i="3"/>
  <c r="F412" i="3"/>
  <c r="E412" i="3"/>
  <c r="C412" i="3" s="1"/>
  <c r="K411" i="3"/>
  <c r="D411" i="3" s="1"/>
  <c r="F411" i="3"/>
  <c r="E411" i="3"/>
  <c r="C411" i="3" s="1"/>
  <c r="C3" i="9" l="1"/>
  <c r="D2" i="9"/>
  <c r="D3" i="9"/>
  <c r="C4" i="9"/>
  <c r="C5" i="9" s="1"/>
  <c r="D5" i="9" s="1"/>
  <c r="D276" i="9"/>
  <c r="D294" i="9"/>
  <c r="D3" i="8"/>
  <c r="D7" i="8"/>
  <c r="C4" i="8"/>
  <c r="C8" i="8"/>
  <c r="C118" i="8"/>
  <c r="D65" i="8"/>
  <c r="D66" i="8"/>
  <c r="C66" i="8"/>
  <c r="C67" i="8" s="1"/>
  <c r="C68" i="8" s="1"/>
  <c r="D68" i="8" s="1"/>
  <c r="D117" i="8"/>
  <c r="C202" i="8"/>
  <c r="D339" i="8"/>
  <c r="D338" i="8"/>
  <c r="C340" i="8"/>
  <c r="D371" i="8"/>
  <c r="D370" i="8"/>
  <c r="C372" i="8"/>
  <c r="C373" i="8" s="1"/>
  <c r="D412" i="8"/>
  <c r="D420" i="8"/>
  <c r="C421" i="8"/>
  <c r="C339" i="8"/>
  <c r="C371" i="8"/>
  <c r="C265" i="8"/>
  <c r="C264" i="8"/>
  <c r="D264" i="8" s="1"/>
  <c r="C360" i="8"/>
  <c r="D405" i="8"/>
  <c r="C408" i="8"/>
  <c r="D407" i="8"/>
  <c r="D408" i="8"/>
  <c r="C413" i="8"/>
  <c r="D413" i="8" s="1"/>
  <c r="D421" i="8"/>
  <c r="D394" i="8"/>
  <c r="D404" i="8"/>
  <c r="D414" i="8"/>
  <c r="D419" i="8"/>
  <c r="C406" i="8"/>
  <c r="D406" i="8" s="1"/>
  <c r="C412" i="8"/>
  <c r="C417" i="8"/>
  <c r="D417" i="8" s="1"/>
  <c r="C413" i="3"/>
  <c r="D412" i="3"/>
  <c r="D413" i="3"/>
  <c r="C415" i="3"/>
  <c r="D415" i="3" s="1"/>
  <c r="D418" i="3"/>
  <c r="D423" i="3"/>
  <c r="C417" i="3"/>
  <c r="D417" i="3" s="1"/>
  <c r="D4" i="9" l="1"/>
  <c r="C6" i="9"/>
  <c r="C277" i="9"/>
  <c r="D372" i="8"/>
  <c r="D360" i="8"/>
  <c r="C361" i="8"/>
  <c r="C341" i="8"/>
  <c r="D340" i="8"/>
  <c r="C266" i="8"/>
  <c r="D265" i="8"/>
  <c r="C374" i="8"/>
  <c r="D373" i="8"/>
  <c r="C69" i="8"/>
  <c r="C5" i="8"/>
  <c r="D4" i="8"/>
  <c r="D67" i="8"/>
  <c r="C119" i="8"/>
  <c r="D118" i="8"/>
  <c r="C9" i="8"/>
  <c r="D8" i="8"/>
  <c r="C203" i="8"/>
  <c r="D202" i="8"/>
  <c r="D6" i="9" l="1"/>
  <c r="C7" i="9"/>
  <c r="D277" i="9"/>
  <c r="C10" i="8"/>
  <c r="D9" i="8"/>
  <c r="D374" i="8"/>
  <c r="C375" i="8"/>
  <c r="C342" i="8"/>
  <c r="D341" i="8"/>
  <c r="C6" i="8"/>
  <c r="D6" i="8" s="1"/>
  <c r="D5" i="8"/>
  <c r="C362" i="8"/>
  <c r="D361" i="8"/>
  <c r="C204" i="8"/>
  <c r="D203" i="8"/>
  <c r="C120" i="8"/>
  <c r="D119" i="8"/>
  <c r="D69" i="8"/>
  <c r="C70" i="8"/>
  <c r="D266" i="8"/>
  <c r="C267" i="8"/>
  <c r="D7" i="9" l="1"/>
  <c r="C8" i="9"/>
  <c r="D8" i="9" s="1"/>
  <c r="C257" i="9"/>
  <c r="C205" i="8"/>
  <c r="D204" i="8"/>
  <c r="C268" i="8"/>
  <c r="D267" i="8"/>
  <c r="C121" i="8"/>
  <c r="D120" i="8"/>
  <c r="D362" i="8"/>
  <c r="C363" i="8"/>
  <c r="C343" i="8"/>
  <c r="D342" i="8"/>
  <c r="C11" i="8"/>
  <c r="D10" i="8"/>
  <c r="C71" i="8"/>
  <c r="D70" i="8"/>
  <c r="D375" i="8"/>
  <c r="C376" i="8"/>
  <c r="C258" i="9" l="1"/>
  <c r="C259" i="9" s="1"/>
  <c r="D257" i="9"/>
  <c r="C60" i="9"/>
  <c r="D11" i="8"/>
  <c r="C12" i="8"/>
  <c r="C269" i="8"/>
  <c r="D268" i="8"/>
  <c r="C72" i="8"/>
  <c r="D71" i="8"/>
  <c r="C344" i="8"/>
  <c r="D343" i="8"/>
  <c r="D121" i="8"/>
  <c r="C122" i="8"/>
  <c r="D205" i="8"/>
  <c r="C206" i="8"/>
  <c r="C377" i="8"/>
  <c r="D376" i="8"/>
  <c r="C364" i="8"/>
  <c r="D363" i="8"/>
  <c r="D259" i="9" l="1"/>
  <c r="D60" i="9"/>
  <c r="C278" i="9"/>
  <c r="C207" i="9"/>
  <c r="D258" i="9"/>
  <c r="C207" i="8"/>
  <c r="D206" i="8"/>
  <c r="C365" i="8"/>
  <c r="D364" i="8"/>
  <c r="D344" i="8"/>
  <c r="C345" i="8"/>
  <c r="C270" i="8"/>
  <c r="D269" i="8"/>
  <c r="C123" i="8"/>
  <c r="D122" i="8"/>
  <c r="C13" i="8"/>
  <c r="C14" i="8" s="1"/>
  <c r="D12" i="8"/>
  <c r="D13" i="8" s="1"/>
  <c r="C378" i="8"/>
  <c r="D377" i="8"/>
  <c r="C73" i="8"/>
  <c r="D72" i="8"/>
  <c r="D207" i="9" l="1"/>
  <c r="C9" i="9"/>
  <c r="D278" i="9"/>
  <c r="D378" i="8"/>
  <c r="C379" i="8"/>
  <c r="D207" i="8"/>
  <c r="C208" i="8"/>
  <c r="C124" i="8"/>
  <c r="D123" i="8"/>
  <c r="D73" i="8"/>
  <c r="C74" i="8"/>
  <c r="D14" i="8"/>
  <c r="C15" i="8"/>
  <c r="D270" i="8"/>
  <c r="C271" i="8"/>
  <c r="C366" i="8"/>
  <c r="D365" i="8"/>
  <c r="C346" i="8"/>
  <c r="D345" i="8"/>
  <c r="D9" i="9" l="1"/>
  <c r="C10" i="9"/>
  <c r="C11" i="9" s="1"/>
  <c r="D346" i="8"/>
  <c r="C347" i="8"/>
  <c r="C16" i="8"/>
  <c r="D15" i="8"/>
  <c r="C380" i="8"/>
  <c r="D379" i="8"/>
  <c r="D366" i="8"/>
  <c r="C367" i="8"/>
  <c r="D124" i="8"/>
  <c r="C125" i="8"/>
  <c r="D271" i="8"/>
  <c r="C272" i="8"/>
  <c r="C75" i="8"/>
  <c r="D74" i="8"/>
  <c r="D208" i="8"/>
  <c r="C209" i="8"/>
  <c r="D11" i="9" l="1"/>
  <c r="C12" i="9"/>
  <c r="D10" i="9"/>
  <c r="C279" i="9"/>
  <c r="C280" i="9" s="1"/>
  <c r="C17" i="8"/>
  <c r="D16" i="8"/>
  <c r="C76" i="8"/>
  <c r="D75" i="8"/>
  <c r="D380" i="8"/>
  <c r="C381" i="8"/>
  <c r="D209" i="8"/>
  <c r="D210" i="8" s="1"/>
  <c r="C210" i="8"/>
  <c r="C211" i="8" s="1"/>
  <c r="C273" i="8"/>
  <c r="D272" i="8"/>
  <c r="D367" i="8"/>
  <c r="D368" i="8" s="1"/>
  <c r="C368" i="8"/>
  <c r="C369" i="8" s="1"/>
  <c r="D369" i="8" s="1"/>
  <c r="C126" i="8"/>
  <c r="D125" i="8"/>
  <c r="D347" i="8"/>
  <c r="C348" i="8"/>
  <c r="C13" i="9" l="1"/>
  <c r="D13" i="9" s="1"/>
  <c r="D12" i="9"/>
  <c r="C281" i="9"/>
  <c r="D281" i="9" s="1"/>
  <c r="D280" i="9"/>
  <c r="C208" i="9"/>
  <c r="C209" i="9" s="1"/>
  <c r="D209" i="9" s="1"/>
  <c r="C260" i="9"/>
  <c r="C261" i="9" s="1"/>
  <c r="C262" i="9" s="1"/>
  <c r="D260" i="9"/>
  <c r="D261" i="9" s="1"/>
  <c r="D279" i="9"/>
  <c r="C61" i="9"/>
  <c r="C62" i="9" s="1"/>
  <c r="D62" i="9" s="1"/>
  <c r="C77" i="8"/>
  <c r="D76" i="8"/>
  <c r="C382" i="8"/>
  <c r="D381" i="8"/>
  <c r="C127" i="8"/>
  <c r="D126" i="8"/>
  <c r="C274" i="8"/>
  <c r="D273" i="8"/>
  <c r="C18" i="8"/>
  <c r="D17" i="8"/>
  <c r="D348" i="8"/>
  <c r="D349" i="8" s="1"/>
  <c r="D350" i="8" s="1"/>
  <c r="D351" i="8" s="1"/>
  <c r="C349" i="8"/>
  <c r="C350" i="8" s="1"/>
  <c r="C351" i="8" s="1"/>
  <c r="C352" i="8" s="1"/>
  <c r="C212" i="8"/>
  <c r="D211" i="8"/>
  <c r="D262" i="9" l="1"/>
  <c r="C263" i="9"/>
  <c r="C282" i="9"/>
  <c r="C283" i="9" s="1"/>
  <c r="D61" i="9"/>
  <c r="D208" i="9"/>
  <c r="C383" i="8"/>
  <c r="D382" i="8"/>
  <c r="C353" i="8"/>
  <c r="D352" i="8"/>
  <c r="C275" i="8"/>
  <c r="D274" i="8"/>
  <c r="C213" i="8"/>
  <c r="D212" i="8"/>
  <c r="C19" i="8"/>
  <c r="D18" i="8"/>
  <c r="C128" i="8"/>
  <c r="D127" i="8"/>
  <c r="D77" i="8"/>
  <c r="D78" i="8" s="1"/>
  <c r="D79" i="8" s="1"/>
  <c r="D80" i="8" s="1"/>
  <c r="C78" i="8"/>
  <c r="C79" i="8" s="1"/>
  <c r="C80" i="8" s="1"/>
  <c r="C81" i="8" s="1"/>
  <c r="D283" i="9" l="1"/>
  <c r="C284" i="9"/>
  <c r="C264" i="9"/>
  <c r="D263" i="9"/>
  <c r="D282" i="9"/>
  <c r="C214" i="8"/>
  <c r="D213" i="8"/>
  <c r="C129" i="8"/>
  <c r="D128" i="8"/>
  <c r="C354" i="8"/>
  <c r="D353" i="8"/>
  <c r="C82" i="8"/>
  <c r="D81" i="8"/>
  <c r="D19" i="8"/>
  <c r="C20" i="8"/>
  <c r="D275" i="8"/>
  <c r="C276" i="8"/>
  <c r="D383" i="8"/>
  <c r="C384" i="8"/>
  <c r="D264" i="9" l="1"/>
  <c r="C265" i="9"/>
  <c r="C285" i="9"/>
  <c r="D284" i="9"/>
  <c r="C277" i="8"/>
  <c r="D276" i="8"/>
  <c r="D82" i="8"/>
  <c r="C83" i="8"/>
  <c r="D129" i="8"/>
  <c r="C130" i="8"/>
  <c r="C385" i="8"/>
  <c r="D384" i="8"/>
  <c r="C21" i="8"/>
  <c r="C22" i="8" s="1"/>
  <c r="D20" i="8"/>
  <c r="D21" i="8" s="1"/>
  <c r="D354" i="8"/>
  <c r="C355" i="8"/>
  <c r="C215" i="8"/>
  <c r="D214" i="8"/>
  <c r="C286" i="9" l="1"/>
  <c r="D285" i="9"/>
  <c r="D265" i="9"/>
  <c r="C266" i="9"/>
  <c r="C14" i="9"/>
  <c r="D355" i="8"/>
  <c r="D356" i="8" s="1"/>
  <c r="C356" i="8"/>
  <c r="C357" i="8" s="1"/>
  <c r="C84" i="8"/>
  <c r="D83" i="8"/>
  <c r="C386" i="8"/>
  <c r="D385" i="8"/>
  <c r="C131" i="8"/>
  <c r="D130" i="8"/>
  <c r="C216" i="8"/>
  <c r="D215" i="8"/>
  <c r="D22" i="8"/>
  <c r="C23" i="8"/>
  <c r="C278" i="8"/>
  <c r="D277" i="8"/>
  <c r="D266" i="9" l="1"/>
  <c r="C267" i="9"/>
  <c r="D286" i="9"/>
  <c r="C287" i="9"/>
  <c r="C63" i="9"/>
  <c r="C64" i="9" s="1"/>
  <c r="D14" i="9"/>
  <c r="D23" i="8"/>
  <c r="C24" i="8"/>
  <c r="C85" i="8"/>
  <c r="D84" i="8"/>
  <c r="C132" i="8"/>
  <c r="D131" i="8"/>
  <c r="C358" i="8"/>
  <c r="D358" i="8" s="1"/>
  <c r="D357" i="8"/>
  <c r="D278" i="8"/>
  <c r="C279" i="8"/>
  <c r="D216" i="8"/>
  <c r="C217" i="8"/>
  <c r="C387" i="8"/>
  <c r="D386" i="8"/>
  <c r="D287" i="9" l="1"/>
  <c r="C288" i="9"/>
  <c r="D64" i="9"/>
  <c r="D65" i="9" s="1"/>
  <c r="C65" i="9"/>
  <c r="C66" i="9" s="1"/>
  <c r="C268" i="9"/>
  <c r="D267" i="9"/>
  <c r="D63" i="9"/>
  <c r="D217" i="8"/>
  <c r="C218" i="8"/>
  <c r="D85" i="8"/>
  <c r="C86" i="8"/>
  <c r="C280" i="8"/>
  <c r="D279" i="8"/>
  <c r="C25" i="8"/>
  <c r="D24" i="8"/>
  <c r="D387" i="8"/>
  <c r="C388" i="8"/>
  <c r="D132" i="8"/>
  <c r="C133" i="8"/>
  <c r="C67" i="9" l="1"/>
  <c r="D66" i="9"/>
  <c r="C289" i="9"/>
  <c r="D289" i="9" s="1"/>
  <c r="D288" i="9"/>
  <c r="C269" i="9"/>
  <c r="D268" i="9"/>
  <c r="C87" i="8"/>
  <c r="D86" i="8"/>
  <c r="C26" i="8"/>
  <c r="D25" i="8"/>
  <c r="C219" i="8"/>
  <c r="D218" i="8"/>
  <c r="C134" i="8"/>
  <c r="D133" i="8"/>
  <c r="D388" i="8"/>
  <c r="D389" i="8" s="1"/>
  <c r="C389" i="8"/>
  <c r="C390" i="8" s="1"/>
  <c r="D280" i="8"/>
  <c r="C281" i="8"/>
  <c r="C270" i="9" l="1"/>
  <c r="D269" i="9"/>
  <c r="D67" i="9"/>
  <c r="C68" i="9"/>
  <c r="C282" i="8"/>
  <c r="D281" i="8"/>
  <c r="C135" i="8"/>
  <c r="D134" i="8"/>
  <c r="C27" i="8"/>
  <c r="D26" i="8"/>
  <c r="C391" i="8"/>
  <c r="D390" i="8"/>
  <c r="C220" i="8"/>
  <c r="D219" i="8"/>
  <c r="C88" i="8"/>
  <c r="D87" i="8"/>
  <c r="C69" i="9" l="1"/>
  <c r="D68" i="9"/>
  <c r="C271" i="9"/>
  <c r="D270" i="9"/>
  <c r="C392" i="8"/>
  <c r="D391" i="8"/>
  <c r="C136" i="8"/>
  <c r="C137" i="8" s="1"/>
  <c r="C138" i="8" s="1"/>
  <c r="C139" i="8" s="1"/>
  <c r="C140" i="8" s="1"/>
  <c r="C141" i="8" s="1"/>
  <c r="D135" i="8"/>
  <c r="D136" i="8" s="1"/>
  <c r="D137" i="8" s="1"/>
  <c r="D138" i="8" s="1"/>
  <c r="D139" i="8" s="1"/>
  <c r="D140" i="8" s="1"/>
  <c r="C89" i="8"/>
  <c r="D88" i="8"/>
  <c r="D220" i="8"/>
  <c r="C221" i="8"/>
  <c r="D27" i="8"/>
  <c r="C28" i="8"/>
  <c r="D282" i="8"/>
  <c r="C283" i="8"/>
  <c r="D271" i="9" l="1"/>
  <c r="C272" i="9"/>
  <c r="C70" i="9"/>
  <c r="D69" i="9"/>
  <c r="C290" i="9"/>
  <c r="C142" i="8"/>
  <c r="D141" i="8"/>
  <c r="C284" i="8"/>
  <c r="D283" i="8"/>
  <c r="C222" i="8"/>
  <c r="D221" i="8"/>
  <c r="C29" i="8"/>
  <c r="D28" i="8"/>
  <c r="D89" i="8"/>
  <c r="C90" i="8"/>
  <c r="C393" i="8"/>
  <c r="D392" i="8"/>
  <c r="D70" i="9" l="1"/>
  <c r="C71" i="9"/>
  <c r="D272" i="9"/>
  <c r="C273" i="9"/>
  <c r="C291" i="9"/>
  <c r="D290" i="9"/>
  <c r="D393" i="8"/>
  <c r="C395" i="8"/>
  <c r="C30" i="8"/>
  <c r="D29" i="8"/>
  <c r="D284" i="8"/>
  <c r="C285" i="8"/>
  <c r="C91" i="8"/>
  <c r="D90" i="8"/>
  <c r="C223" i="8"/>
  <c r="C224" i="8" s="1"/>
  <c r="C225" i="8" s="1"/>
  <c r="D222" i="8"/>
  <c r="D223" i="8" s="1"/>
  <c r="D224" i="8" s="1"/>
  <c r="C143" i="8"/>
  <c r="D142" i="8"/>
  <c r="D71" i="9" l="1"/>
  <c r="C72" i="9"/>
  <c r="C274" i="9"/>
  <c r="D273" i="9"/>
  <c r="C210" i="9"/>
  <c r="C211" i="9" s="1"/>
  <c r="D211" i="9" s="1"/>
  <c r="D291" i="9"/>
  <c r="C292" i="9"/>
  <c r="C144" i="8"/>
  <c r="D143" i="8"/>
  <c r="C92" i="8"/>
  <c r="D91" i="8"/>
  <c r="D30" i="8"/>
  <c r="C31" i="8"/>
  <c r="D395" i="8"/>
  <c r="C396" i="8"/>
  <c r="C286" i="8"/>
  <c r="D285" i="8"/>
  <c r="D225" i="8"/>
  <c r="C226" i="8"/>
  <c r="K408" i="3"/>
  <c r="F408" i="3"/>
  <c r="E408" i="3"/>
  <c r="K407" i="3"/>
  <c r="F407" i="3"/>
  <c r="E407" i="3"/>
  <c r="C407" i="3" s="1"/>
  <c r="K406" i="3"/>
  <c r="F406" i="3"/>
  <c r="E406" i="3"/>
  <c r="K405" i="3"/>
  <c r="F405" i="3"/>
  <c r="E405" i="3"/>
  <c r="C406" i="3" s="1"/>
  <c r="K404" i="3"/>
  <c r="F404" i="3"/>
  <c r="E404" i="3"/>
  <c r="C404" i="3" s="1"/>
  <c r="C405" i="3" s="1"/>
  <c r="K401" i="3"/>
  <c r="F401" i="3"/>
  <c r="E401" i="3"/>
  <c r="K400" i="3"/>
  <c r="F400" i="3"/>
  <c r="E400" i="3"/>
  <c r="K399" i="3"/>
  <c r="F399" i="3"/>
  <c r="E399" i="3"/>
  <c r="K398" i="3"/>
  <c r="F398" i="3"/>
  <c r="E398" i="3"/>
  <c r="K397" i="3"/>
  <c r="F397" i="3"/>
  <c r="E397" i="3"/>
  <c r="K396" i="3"/>
  <c r="F396" i="3"/>
  <c r="E396" i="3"/>
  <c r="K395" i="3"/>
  <c r="F395" i="3"/>
  <c r="E395" i="3"/>
  <c r="K394" i="3"/>
  <c r="F394" i="3"/>
  <c r="E394" i="3"/>
  <c r="C394" i="3" s="1"/>
  <c r="D394" i="3" s="1"/>
  <c r="K393" i="3"/>
  <c r="F393" i="3"/>
  <c r="E393" i="3"/>
  <c r="K392" i="3"/>
  <c r="F392" i="3"/>
  <c r="E392" i="3"/>
  <c r="K391" i="3"/>
  <c r="F391" i="3"/>
  <c r="E391" i="3"/>
  <c r="K390" i="3"/>
  <c r="F390" i="3"/>
  <c r="E390" i="3"/>
  <c r="K389" i="3"/>
  <c r="F389" i="3"/>
  <c r="E389" i="3"/>
  <c r="K388" i="3"/>
  <c r="F388" i="3"/>
  <c r="E388" i="3"/>
  <c r="K387" i="3"/>
  <c r="F387" i="3"/>
  <c r="E387" i="3"/>
  <c r="K386" i="3"/>
  <c r="F386" i="3"/>
  <c r="E386" i="3"/>
  <c r="K385" i="3"/>
  <c r="F385" i="3"/>
  <c r="E385" i="3"/>
  <c r="K384" i="3"/>
  <c r="F384" i="3"/>
  <c r="E384" i="3"/>
  <c r="K383" i="3"/>
  <c r="F383" i="3"/>
  <c r="E383" i="3"/>
  <c r="K382" i="3"/>
  <c r="F382" i="3"/>
  <c r="E382" i="3"/>
  <c r="K381" i="3"/>
  <c r="F381" i="3"/>
  <c r="E381" i="3"/>
  <c r="K380" i="3"/>
  <c r="F380" i="3"/>
  <c r="E380" i="3"/>
  <c r="K379" i="3"/>
  <c r="F379" i="3"/>
  <c r="E379" i="3"/>
  <c r="K378" i="3"/>
  <c r="F378" i="3"/>
  <c r="E378" i="3"/>
  <c r="K377" i="3"/>
  <c r="F377" i="3"/>
  <c r="E377" i="3"/>
  <c r="K376" i="3"/>
  <c r="F376" i="3"/>
  <c r="E376" i="3"/>
  <c r="K375" i="3"/>
  <c r="F375" i="3"/>
  <c r="E375" i="3"/>
  <c r="K374" i="3"/>
  <c r="F374" i="3"/>
  <c r="E374" i="3"/>
  <c r="K373" i="3"/>
  <c r="F373" i="3"/>
  <c r="E373" i="3"/>
  <c r="K372" i="3"/>
  <c r="F372" i="3"/>
  <c r="E372" i="3"/>
  <c r="K371" i="3"/>
  <c r="F371" i="3"/>
  <c r="E371" i="3"/>
  <c r="K370" i="3"/>
  <c r="F370" i="3"/>
  <c r="E370" i="3"/>
  <c r="K369" i="3"/>
  <c r="F369" i="3"/>
  <c r="E369" i="3"/>
  <c r="K368" i="3"/>
  <c r="F368" i="3"/>
  <c r="E368" i="3"/>
  <c r="K367" i="3"/>
  <c r="F367" i="3"/>
  <c r="E367" i="3"/>
  <c r="K366" i="3"/>
  <c r="F366" i="3"/>
  <c r="E366" i="3"/>
  <c r="K365" i="3"/>
  <c r="F365" i="3"/>
  <c r="E365" i="3"/>
  <c r="K364" i="3"/>
  <c r="F364" i="3"/>
  <c r="E364" i="3"/>
  <c r="K363" i="3"/>
  <c r="F363" i="3"/>
  <c r="E363" i="3"/>
  <c r="K362" i="3"/>
  <c r="F362" i="3"/>
  <c r="E362" i="3"/>
  <c r="K361" i="3"/>
  <c r="F361" i="3"/>
  <c r="E361" i="3"/>
  <c r="K360" i="3"/>
  <c r="F360" i="3"/>
  <c r="E360" i="3"/>
  <c r="K359" i="3"/>
  <c r="F359" i="3"/>
  <c r="E359" i="3"/>
  <c r="C359" i="3"/>
  <c r="K358" i="3"/>
  <c r="F358" i="3"/>
  <c r="E358" i="3"/>
  <c r="K357" i="3"/>
  <c r="F357" i="3"/>
  <c r="E357" i="3"/>
  <c r="K356" i="3"/>
  <c r="F356" i="3"/>
  <c r="E356" i="3"/>
  <c r="K355" i="3"/>
  <c r="F355" i="3"/>
  <c r="E355" i="3"/>
  <c r="K354" i="3"/>
  <c r="F354" i="3"/>
  <c r="E354" i="3"/>
  <c r="K353" i="3"/>
  <c r="F353" i="3"/>
  <c r="E353" i="3"/>
  <c r="K352" i="3"/>
  <c r="F352" i="3"/>
  <c r="E352" i="3"/>
  <c r="K351" i="3"/>
  <c r="F351" i="3"/>
  <c r="E351" i="3"/>
  <c r="K350" i="3"/>
  <c r="F350" i="3"/>
  <c r="E350" i="3"/>
  <c r="K349" i="3"/>
  <c r="F349" i="3"/>
  <c r="E349" i="3"/>
  <c r="K348" i="3"/>
  <c r="F348" i="3"/>
  <c r="E348" i="3"/>
  <c r="K347" i="3"/>
  <c r="F347" i="3"/>
  <c r="E347" i="3"/>
  <c r="K346" i="3"/>
  <c r="F346" i="3"/>
  <c r="E346" i="3"/>
  <c r="K345" i="3"/>
  <c r="F345" i="3"/>
  <c r="E345" i="3"/>
  <c r="K344" i="3"/>
  <c r="F344" i="3"/>
  <c r="E344" i="3"/>
  <c r="K343" i="3"/>
  <c r="F343" i="3"/>
  <c r="E343" i="3"/>
  <c r="K342" i="3"/>
  <c r="F342" i="3"/>
  <c r="E342" i="3"/>
  <c r="K341" i="3"/>
  <c r="F341" i="3"/>
  <c r="E341" i="3"/>
  <c r="K340" i="3"/>
  <c r="F340" i="3"/>
  <c r="E340" i="3"/>
  <c r="K339" i="3"/>
  <c r="F339" i="3"/>
  <c r="E339" i="3"/>
  <c r="K338" i="3"/>
  <c r="F338" i="3"/>
  <c r="E338" i="3"/>
  <c r="K337" i="3"/>
  <c r="F337" i="3"/>
  <c r="E337" i="3"/>
  <c r="K336" i="3"/>
  <c r="F336" i="3"/>
  <c r="E336" i="3"/>
  <c r="K335" i="3"/>
  <c r="F335" i="3"/>
  <c r="E335" i="3"/>
  <c r="K334" i="3"/>
  <c r="F334" i="3"/>
  <c r="E334" i="3"/>
  <c r="K333" i="3"/>
  <c r="F333" i="3"/>
  <c r="E333" i="3"/>
  <c r="K332" i="3"/>
  <c r="F332" i="3"/>
  <c r="E332" i="3"/>
  <c r="K331" i="3"/>
  <c r="F331" i="3"/>
  <c r="E331" i="3"/>
  <c r="K330" i="3"/>
  <c r="F330" i="3"/>
  <c r="E330" i="3"/>
  <c r="K329" i="3"/>
  <c r="F329" i="3"/>
  <c r="E329" i="3"/>
  <c r="K328" i="3"/>
  <c r="F328" i="3"/>
  <c r="E328" i="3"/>
  <c r="K327" i="3"/>
  <c r="F327" i="3"/>
  <c r="E327" i="3"/>
  <c r="K326" i="3"/>
  <c r="F326" i="3"/>
  <c r="E326" i="3"/>
  <c r="K325" i="3"/>
  <c r="F325" i="3"/>
  <c r="E325" i="3"/>
  <c r="K324" i="3"/>
  <c r="F324" i="3"/>
  <c r="E324" i="3"/>
  <c r="K323" i="3"/>
  <c r="F323" i="3"/>
  <c r="E323" i="3"/>
  <c r="K322" i="3"/>
  <c r="F322" i="3"/>
  <c r="E322" i="3"/>
  <c r="K321" i="3"/>
  <c r="F321" i="3"/>
  <c r="E321" i="3"/>
  <c r="K320" i="3"/>
  <c r="F320" i="3"/>
  <c r="E320" i="3"/>
  <c r="K319" i="3"/>
  <c r="F319" i="3"/>
  <c r="E319" i="3"/>
  <c r="K318" i="3"/>
  <c r="F318" i="3"/>
  <c r="E318" i="3"/>
  <c r="K317" i="3"/>
  <c r="F317" i="3"/>
  <c r="E317" i="3"/>
  <c r="K316" i="3"/>
  <c r="F316" i="3"/>
  <c r="E316" i="3"/>
  <c r="K315" i="3"/>
  <c r="F315" i="3"/>
  <c r="E315" i="3"/>
  <c r="K314" i="3"/>
  <c r="F314" i="3"/>
  <c r="E314" i="3"/>
  <c r="K313" i="3"/>
  <c r="F313" i="3"/>
  <c r="E313" i="3"/>
  <c r="K312" i="3"/>
  <c r="F312" i="3"/>
  <c r="E312" i="3"/>
  <c r="K311" i="3"/>
  <c r="F311" i="3"/>
  <c r="E311" i="3"/>
  <c r="K310" i="3"/>
  <c r="F310" i="3"/>
  <c r="E310" i="3"/>
  <c r="K309" i="3"/>
  <c r="F309" i="3"/>
  <c r="E309" i="3"/>
  <c r="K308" i="3"/>
  <c r="F308" i="3"/>
  <c r="E308" i="3"/>
  <c r="K307" i="3"/>
  <c r="F307" i="3"/>
  <c r="E307" i="3"/>
  <c r="K306" i="3"/>
  <c r="F306" i="3"/>
  <c r="E306" i="3"/>
  <c r="K305" i="3"/>
  <c r="F305" i="3"/>
  <c r="E305" i="3"/>
  <c r="K304" i="3"/>
  <c r="F304" i="3"/>
  <c r="E304" i="3"/>
  <c r="K303" i="3"/>
  <c r="F303" i="3"/>
  <c r="E303" i="3"/>
  <c r="K302" i="3"/>
  <c r="F302" i="3"/>
  <c r="E302" i="3"/>
  <c r="K301" i="3"/>
  <c r="F301" i="3"/>
  <c r="E301" i="3"/>
  <c r="K300" i="3"/>
  <c r="F300" i="3"/>
  <c r="E300" i="3"/>
  <c r="K299" i="3"/>
  <c r="F299" i="3"/>
  <c r="E299" i="3"/>
  <c r="K298" i="3"/>
  <c r="F298" i="3"/>
  <c r="E298" i="3"/>
  <c r="K297" i="3"/>
  <c r="F297" i="3"/>
  <c r="E297" i="3"/>
  <c r="K296" i="3"/>
  <c r="F296" i="3"/>
  <c r="E296" i="3"/>
  <c r="K295" i="3"/>
  <c r="F295" i="3"/>
  <c r="E295" i="3"/>
  <c r="K294" i="3"/>
  <c r="F294" i="3"/>
  <c r="E294" i="3"/>
  <c r="K293" i="3"/>
  <c r="F293" i="3"/>
  <c r="E293" i="3"/>
  <c r="K292" i="3"/>
  <c r="F292" i="3"/>
  <c r="E292" i="3"/>
  <c r="K291" i="3"/>
  <c r="F291" i="3"/>
  <c r="E291" i="3"/>
  <c r="K290" i="3"/>
  <c r="F290" i="3"/>
  <c r="E290" i="3"/>
  <c r="K289" i="3"/>
  <c r="F289" i="3"/>
  <c r="E289" i="3"/>
  <c r="K288" i="3"/>
  <c r="F288" i="3"/>
  <c r="E288" i="3"/>
  <c r="K287" i="3"/>
  <c r="F287" i="3"/>
  <c r="E287" i="3"/>
  <c r="K286" i="3"/>
  <c r="F286" i="3"/>
  <c r="E286" i="3"/>
  <c r="K285" i="3"/>
  <c r="F285" i="3"/>
  <c r="E285" i="3"/>
  <c r="K284" i="3"/>
  <c r="F284" i="3"/>
  <c r="E284" i="3"/>
  <c r="K283" i="3"/>
  <c r="F283" i="3"/>
  <c r="E283" i="3"/>
  <c r="K282" i="3"/>
  <c r="F282" i="3"/>
  <c r="E282" i="3"/>
  <c r="K281" i="3"/>
  <c r="F281" i="3"/>
  <c r="E281" i="3"/>
  <c r="K280" i="3"/>
  <c r="F280" i="3"/>
  <c r="E280" i="3"/>
  <c r="K279" i="3"/>
  <c r="F279" i="3"/>
  <c r="E279" i="3"/>
  <c r="K278" i="3"/>
  <c r="F278" i="3"/>
  <c r="E278" i="3"/>
  <c r="K277" i="3"/>
  <c r="F277" i="3"/>
  <c r="E277" i="3"/>
  <c r="K276" i="3"/>
  <c r="F276" i="3"/>
  <c r="E276" i="3"/>
  <c r="K275" i="3"/>
  <c r="F275" i="3"/>
  <c r="E275" i="3"/>
  <c r="K274" i="3"/>
  <c r="F274" i="3"/>
  <c r="E274" i="3"/>
  <c r="K273" i="3"/>
  <c r="F273" i="3"/>
  <c r="E273" i="3"/>
  <c r="K272" i="3"/>
  <c r="F272" i="3"/>
  <c r="E272" i="3"/>
  <c r="K271" i="3"/>
  <c r="F271" i="3"/>
  <c r="E271" i="3"/>
  <c r="K270" i="3"/>
  <c r="F270" i="3"/>
  <c r="E270" i="3"/>
  <c r="K269" i="3"/>
  <c r="F269" i="3"/>
  <c r="E269" i="3"/>
  <c r="K268" i="3"/>
  <c r="F268" i="3"/>
  <c r="E268" i="3"/>
  <c r="K267" i="3"/>
  <c r="F267" i="3"/>
  <c r="E267" i="3"/>
  <c r="K266" i="3"/>
  <c r="F266" i="3"/>
  <c r="E266" i="3"/>
  <c r="K265" i="3"/>
  <c r="F265" i="3"/>
  <c r="E265" i="3"/>
  <c r="K264" i="3"/>
  <c r="F264" i="3"/>
  <c r="E264" i="3"/>
  <c r="C264" i="3" s="1"/>
  <c r="K263" i="3"/>
  <c r="F263" i="3"/>
  <c r="E263" i="3"/>
  <c r="K262" i="3"/>
  <c r="F262" i="3"/>
  <c r="E262" i="3"/>
  <c r="K261" i="3"/>
  <c r="F261" i="3"/>
  <c r="E261" i="3"/>
  <c r="K260" i="3"/>
  <c r="F260" i="3"/>
  <c r="E260" i="3"/>
  <c r="K259" i="3"/>
  <c r="F259" i="3"/>
  <c r="E259" i="3"/>
  <c r="K258" i="3"/>
  <c r="F258" i="3"/>
  <c r="E258" i="3"/>
  <c r="K257" i="3"/>
  <c r="F257" i="3"/>
  <c r="E257" i="3"/>
  <c r="K256" i="3"/>
  <c r="F256" i="3"/>
  <c r="E256" i="3"/>
  <c r="K255" i="3"/>
  <c r="F255" i="3"/>
  <c r="E255" i="3"/>
  <c r="K254" i="3"/>
  <c r="F254" i="3"/>
  <c r="E254" i="3"/>
  <c r="K253" i="3"/>
  <c r="F253" i="3"/>
  <c r="E253" i="3"/>
  <c r="K252" i="3"/>
  <c r="F252" i="3"/>
  <c r="E252" i="3"/>
  <c r="K251" i="3"/>
  <c r="F251" i="3"/>
  <c r="E251" i="3"/>
  <c r="K250" i="3"/>
  <c r="F250" i="3"/>
  <c r="E250" i="3"/>
  <c r="K249" i="3"/>
  <c r="F249" i="3"/>
  <c r="E249" i="3"/>
  <c r="K248" i="3"/>
  <c r="F248" i="3"/>
  <c r="E248" i="3"/>
  <c r="K247" i="3"/>
  <c r="F247" i="3"/>
  <c r="E247" i="3"/>
  <c r="K246" i="3"/>
  <c r="F246" i="3"/>
  <c r="E246" i="3"/>
  <c r="K245" i="3"/>
  <c r="F245" i="3"/>
  <c r="E245" i="3"/>
  <c r="K244" i="3"/>
  <c r="F244" i="3"/>
  <c r="E244" i="3"/>
  <c r="K243" i="3"/>
  <c r="F243" i="3"/>
  <c r="E243" i="3"/>
  <c r="K242" i="3"/>
  <c r="F242" i="3"/>
  <c r="E242" i="3"/>
  <c r="K241" i="3"/>
  <c r="F241" i="3"/>
  <c r="E241" i="3"/>
  <c r="K240" i="3"/>
  <c r="F240" i="3"/>
  <c r="E240" i="3"/>
  <c r="K239" i="3"/>
  <c r="F239" i="3"/>
  <c r="E239" i="3"/>
  <c r="K238" i="3"/>
  <c r="F238" i="3"/>
  <c r="E238" i="3"/>
  <c r="K237" i="3"/>
  <c r="F237" i="3"/>
  <c r="E237" i="3"/>
  <c r="K236" i="3"/>
  <c r="F236" i="3"/>
  <c r="E236" i="3"/>
  <c r="K235" i="3"/>
  <c r="F235" i="3"/>
  <c r="E235" i="3"/>
  <c r="K234" i="3"/>
  <c r="F234" i="3"/>
  <c r="E234" i="3"/>
  <c r="K233" i="3"/>
  <c r="F233" i="3"/>
  <c r="E233" i="3"/>
  <c r="K232" i="3"/>
  <c r="F232" i="3"/>
  <c r="E232" i="3"/>
  <c r="K231" i="3"/>
  <c r="F231" i="3"/>
  <c r="E231" i="3"/>
  <c r="K230" i="3"/>
  <c r="F230" i="3"/>
  <c r="E230" i="3"/>
  <c r="K229" i="3"/>
  <c r="F229" i="3"/>
  <c r="E229" i="3"/>
  <c r="K228" i="3"/>
  <c r="F228" i="3"/>
  <c r="E228" i="3"/>
  <c r="K227" i="3"/>
  <c r="F227" i="3"/>
  <c r="E227" i="3"/>
  <c r="K226" i="3"/>
  <c r="F226" i="3"/>
  <c r="E226" i="3"/>
  <c r="K225" i="3"/>
  <c r="F225" i="3"/>
  <c r="E225" i="3"/>
  <c r="K224" i="3"/>
  <c r="F224" i="3"/>
  <c r="E224" i="3"/>
  <c r="K223" i="3"/>
  <c r="F223" i="3"/>
  <c r="E223" i="3"/>
  <c r="K222" i="3"/>
  <c r="F222" i="3"/>
  <c r="E222" i="3"/>
  <c r="K221" i="3"/>
  <c r="F221" i="3"/>
  <c r="E221" i="3"/>
  <c r="K220" i="3"/>
  <c r="F220" i="3"/>
  <c r="E220" i="3"/>
  <c r="K219" i="3"/>
  <c r="F219" i="3"/>
  <c r="E219" i="3"/>
  <c r="K218" i="3"/>
  <c r="F218" i="3"/>
  <c r="E218" i="3"/>
  <c r="K217" i="3"/>
  <c r="F217" i="3"/>
  <c r="E217" i="3"/>
  <c r="K216" i="3"/>
  <c r="F216" i="3"/>
  <c r="E216" i="3"/>
  <c r="K215" i="3"/>
  <c r="F215" i="3"/>
  <c r="E215" i="3"/>
  <c r="K214" i="3"/>
  <c r="F214" i="3"/>
  <c r="E214" i="3"/>
  <c r="K213" i="3"/>
  <c r="F213" i="3"/>
  <c r="E213" i="3"/>
  <c r="K212" i="3"/>
  <c r="F212" i="3"/>
  <c r="E212" i="3"/>
  <c r="K211" i="3"/>
  <c r="F211" i="3"/>
  <c r="E211" i="3"/>
  <c r="K210" i="3"/>
  <c r="F210" i="3"/>
  <c r="E210" i="3"/>
  <c r="K209" i="3"/>
  <c r="F209" i="3"/>
  <c r="E209" i="3"/>
  <c r="K208" i="3"/>
  <c r="F208" i="3"/>
  <c r="E208" i="3"/>
  <c r="K207" i="3"/>
  <c r="F207" i="3"/>
  <c r="E207" i="3"/>
  <c r="K206" i="3"/>
  <c r="F206" i="3"/>
  <c r="E206" i="3"/>
  <c r="K205" i="3"/>
  <c r="F205" i="3"/>
  <c r="E205" i="3"/>
  <c r="K204" i="3"/>
  <c r="F204" i="3"/>
  <c r="E204" i="3"/>
  <c r="K203" i="3"/>
  <c r="F203" i="3"/>
  <c r="E203" i="3"/>
  <c r="K202" i="3"/>
  <c r="F202" i="3"/>
  <c r="E202" i="3"/>
  <c r="C202" i="3" s="1"/>
  <c r="K201" i="3"/>
  <c r="F201" i="3"/>
  <c r="E201" i="3"/>
  <c r="K200" i="3"/>
  <c r="F200" i="3"/>
  <c r="E200" i="3"/>
  <c r="K199" i="3"/>
  <c r="F199" i="3"/>
  <c r="E199" i="3"/>
  <c r="K198" i="3"/>
  <c r="F198" i="3"/>
  <c r="E198" i="3"/>
  <c r="K197" i="3"/>
  <c r="F197" i="3"/>
  <c r="E197" i="3"/>
  <c r="K196" i="3"/>
  <c r="F196" i="3"/>
  <c r="E196" i="3"/>
  <c r="K195" i="3"/>
  <c r="F195" i="3"/>
  <c r="E195" i="3"/>
  <c r="K194" i="3"/>
  <c r="F194" i="3"/>
  <c r="E194" i="3"/>
  <c r="K193" i="3"/>
  <c r="F193" i="3"/>
  <c r="E193" i="3"/>
  <c r="K192" i="3"/>
  <c r="F192" i="3"/>
  <c r="E192" i="3"/>
  <c r="K191" i="3"/>
  <c r="F191" i="3"/>
  <c r="E191" i="3"/>
  <c r="K190" i="3"/>
  <c r="F190" i="3"/>
  <c r="E190" i="3"/>
  <c r="K189" i="3"/>
  <c r="F189" i="3"/>
  <c r="E189" i="3"/>
  <c r="K188" i="3"/>
  <c r="F188" i="3"/>
  <c r="E188" i="3"/>
  <c r="K187" i="3"/>
  <c r="F187" i="3"/>
  <c r="E187" i="3"/>
  <c r="K186" i="3"/>
  <c r="F186" i="3"/>
  <c r="E186" i="3"/>
  <c r="K185" i="3"/>
  <c r="F185" i="3"/>
  <c r="E185" i="3"/>
  <c r="K184" i="3"/>
  <c r="F184" i="3"/>
  <c r="E184" i="3"/>
  <c r="K183" i="3"/>
  <c r="F183" i="3"/>
  <c r="E183" i="3"/>
  <c r="K182" i="3"/>
  <c r="F182" i="3"/>
  <c r="E182" i="3"/>
  <c r="K181" i="3"/>
  <c r="F181" i="3"/>
  <c r="E181" i="3"/>
  <c r="K180" i="3"/>
  <c r="F180" i="3"/>
  <c r="E180" i="3"/>
  <c r="K179" i="3"/>
  <c r="F179" i="3"/>
  <c r="E179" i="3"/>
  <c r="K178" i="3"/>
  <c r="F178" i="3"/>
  <c r="E178" i="3"/>
  <c r="K177" i="3"/>
  <c r="F177" i="3"/>
  <c r="E177" i="3"/>
  <c r="K176" i="3"/>
  <c r="F176" i="3"/>
  <c r="E176" i="3"/>
  <c r="K175" i="3"/>
  <c r="F175" i="3"/>
  <c r="E175" i="3"/>
  <c r="K174" i="3"/>
  <c r="F174" i="3"/>
  <c r="E174" i="3"/>
  <c r="K173" i="3"/>
  <c r="F173" i="3"/>
  <c r="E173" i="3"/>
  <c r="K172" i="3"/>
  <c r="F172" i="3"/>
  <c r="E172" i="3"/>
  <c r="K171" i="3"/>
  <c r="F171" i="3"/>
  <c r="E171" i="3"/>
  <c r="K170" i="3"/>
  <c r="F170" i="3"/>
  <c r="E170" i="3"/>
  <c r="K169" i="3"/>
  <c r="F169" i="3"/>
  <c r="E169" i="3"/>
  <c r="K168" i="3"/>
  <c r="F168" i="3"/>
  <c r="E168" i="3"/>
  <c r="K167" i="3"/>
  <c r="F167" i="3"/>
  <c r="E167" i="3"/>
  <c r="K166" i="3"/>
  <c r="F166" i="3"/>
  <c r="E166" i="3"/>
  <c r="K165" i="3"/>
  <c r="F165" i="3"/>
  <c r="E165" i="3"/>
  <c r="K164" i="3"/>
  <c r="F164" i="3"/>
  <c r="E164" i="3"/>
  <c r="K163" i="3"/>
  <c r="F163" i="3"/>
  <c r="E163" i="3"/>
  <c r="K162" i="3"/>
  <c r="F162" i="3"/>
  <c r="E162" i="3"/>
  <c r="K161" i="3"/>
  <c r="F161" i="3"/>
  <c r="E161" i="3"/>
  <c r="K160" i="3"/>
  <c r="F160" i="3"/>
  <c r="E160" i="3"/>
  <c r="K159" i="3"/>
  <c r="F159" i="3"/>
  <c r="E159" i="3"/>
  <c r="K158" i="3"/>
  <c r="F158" i="3"/>
  <c r="E158" i="3"/>
  <c r="K157" i="3"/>
  <c r="F157" i="3"/>
  <c r="E157" i="3"/>
  <c r="K156" i="3"/>
  <c r="F156" i="3"/>
  <c r="E156" i="3"/>
  <c r="K155" i="3"/>
  <c r="F155" i="3"/>
  <c r="E155" i="3"/>
  <c r="K154" i="3"/>
  <c r="F154" i="3"/>
  <c r="E154" i="3"/>
  <c r="K153" i="3"/>
  <c r="F153" i="3"/>
  <c r="E153" i="3"/>
  <c r="K152" i="3"/>
  <c r="F152" i="3"/>
  <c r="E152" i="3"/>
  <c r="K151" i="3"/>
  <c r="F151" i="3"/>
  <c r="E151" i="3"/>
  <c r="K150" i="3"/>
  <c r="F150" i="3"/>
  <c r="E150" i="3"/>
  <c r="K149" i="3"/>
  <c r="F149" i="3"/>
  <c r="E149" i="3"/>
  <c r="K148" i="3"/>
  <c r="F148" i="3"/>
  <c r="E148" i="3"/>
  <c r="K147" i="3"/>
  <c r="F147" i="3"/>
  <c r="E147" i="3"/>
  <c r="K146" i="3"/>
  <c r="F146" i="3"/>
  <c r="E146" i="3"/>
  <c r="K145" i="3"/>
  <c r="F145" i="3"/>
  <c r="E145" i="3"/>
  <c r="K144" i="3"/>
  <c r="F144" i="3"/>
  <c r="E144" i="3"/>
  <c r="K143" i="3"/>
  <c r="F143" i="3"/>
  <c r="E143" i="3"/>
  <c r="K142" i="3"/>
  <c r="F142" i="3"/>
  <c r="E142" i="3"/>
  <c r="K141" i="3"/>
  <c r="F141" i="3"/>
  <c r="E141" i="3"/>
  <c r="K140" i="3"/>
  <c r="F140" i="3"/>
  <c r="E140" i="3"/>
  <c r="K139" i="3"/>
  <c r="F139" i="3"/>
  <c r="E139" i="3"/>
  <c r="K138" i="3"/>
  <c r="F138" i="3"/>
  <c r="E138" i="3"/>
  <c r="K137" i="3"/>
  <c r="F137" i="3"/>
  <c r="E137" i="3"/>
  <c r="K136" i="3"/>
  <c r="F136" i="3"/>
  <c r="E136" i="3"/>
  <c r="K135" i="3"/>
  <c r="F135" i="3"/>
  <c r="E135" i="3"/>
  <c r="K134" i="3"/>
  <c r="F134" i="3"/>
  <c r="E134" i="3"/>
  <c r="K133" i="3"/>
  <c r="F133" i="3"/>
  <c r="E133" i="3"/>
  <c r="K132" i="3"/>
  <c r="F132" i="3"/>
  <c r="E132" i="3"/>
  <c r="K131" i="3"/>
  <c r="F131" i="3"/>
  <c r="E131" i="3"/>
  <c r="K130" i="3"/>
  <c r="F130" i="3"/>
  <c r="E130" i="3"/>
  <c r="K129" i="3"/>
  <c r="F129" i="3"/>
  <c r="E129" i="3"/>
  <c r="K128" i="3"/>
  <c r="F128" i="3"/>
  <c r="E128" i="3"/>
  <c r="K127" i="3"/>
  <c r="F127" i="3"/>
  <c r="E127" i="3"/>
  <c r="K126" i="3"/>
  <c r="F126" i="3"/>
  <c r="E126" i="3"/>
  <c r="K125" i="3"/>
  <c r="F125" i="3"/>
  <c r="E125" i="3"/>
  <c r="K124" i="3"/>
  <c r="F124" i="3"/>
  <c r="E124" i="3"/>
  <c r="K123" i="3"/>
  <c r="F123" i="3"/>
  <c r="E123" i="3"/>
  <c r="K122" i="3"/>
  <c r="F122" i="3"/>
  <c r="E122" i="3"/>
  <c r="K121" i="3"/>
  <c r="F121" i="3"/>
  <c r="E121" i="3"/>
  <c r="K120" i="3"/>
  <c r="F120" i="3"/>
  <c r="E120" i="3"/>
  <c r="K119" i="3"/>
  <c r="F119" i="3"/>
  <c r="E119" i="3"/>
  <c r="K118" i="3"/>
  <c r="F118" i="3"/>
  <c r="E118" i="3"/>
  <c r="K117" i="3"/>
  <c r="F117" i="3"/>
  <c r="E117" i="3"/>
  <c r="C117" i="3" s="1"/>
  <c r="K116" i="3"/>
  <c r="D117" i="3" s="1"/>
  <c r="F116" i="3"/>
  <c r="E116" i="3"/>
  <c r="K115" i="3"/>
  <c r="F115" i="3"/>
  <c r="E115" i="3"/>
  <c r="K114" i="3"/>
  <c r="F114" i="3"/>
  <c r="E114" i="3"/>
  <c r="K113" i="3"/>
  <c r="F113" i="3"/>
  <c r="E113" i="3"/>
  <c r="K112" i="3"/>
  <c r="F112" i="3"/>
  <c r="E112" i="3"/>
  <c r="K111" i="3"/>
  <c r="F111" i="3"/>
  <c r="E111" i="3"/>
  <c r="K110" i="3"/>
  <c r="F110" i="3"/>
  <c r="E110" i="3"/>
  <c r="K109" i="3"/>
  <c r="F109" i="3"/>
  <c r="E109" i="3"/>
  <c r="K108" i="3"/>
  <c r="F108" i="3"/>
  <c r="E108" i="3"/>
  <c r="K107" i="3"/>
  <c r="F107" i="3"/>
  <c r="E107" i="3"/>
  <c r="K106" i="3"/>
  <c r="F106" i="3"/>
  <c r="E106" i="3"/>
  <c r="K105" i="3"/>
  <c r="F105" i="3"/>
  <c r="E105" i="3"/>
  <c r="K104" i="3"/>
  <c r="F104" i="3"/>
  <c r="E104" i="3"/>
  <c r="K103" i="3"/>
  <c r="F103" i="3"/>
  <c r="E103" i="3"/>
  <c r="K102" i="3"/>
  <c r="F102" i="3"/>
  <c r="E102" i="3"/>
  <c r="K101" i="3"/>
  <c r="F101" i="3"/>
  <c r="E101" i="3"/>
  <c r="K100" i="3"/>
  <c r="F100" i="3"/>
  <c r="E100" i="3"/>
  <c r="K99" i="3"/>
  <c r="F99" i="3"/>
  <c r="E99" i="3"/>
  <c r="K98" i="3"/>
  <c r="F98" i="3"/>
  <c r="E98" i="3"/>
  <c r="K97" i="3"/>
  <c r="F97" i="3"/>
  <c r="E97" i="3"/>
  <c r="K96" i="3"/>
  <c r="F96" i="3"/>
  <c r="E96" i="3"/>
  <c r="K95" i="3"/>
  <c r="F95" i="3"/>
  <c r="E95" i="3"/>
  <c r="K94" i="3"/>
  <c r="F94" i="3"/>
  <c r="E94" i="3"/>
  <c r="K93" i="3"/>
  <c r="F93" i="3"/>
  <c r="E93" i="3"/>
  <c r="K92" i="3"/>
  <c r="F92" i="3"/>
  <c r="E92" i="3"/>
  <c r="K91" i="3"/>
  <c r="F91" i="3"/>
  <c r="E91" i="3"/>
  <c r="K90" i="3"/>
  <c r="F90" i="3"/>
  <c r="E90" i="3"/>
  <c r="K89" i="3"/>
  <c r="F89" i="3"/>
  <c r="E89" i="3"/>
  <c r="K88" i="3"/>
  <c r="F88" i="3"/>
  <c r="E88" i="3"/>
  <c r="K87" i="3"/>
  <c r="F87" i="3"/>
  <c r="E87" i="3"/>
  <c r="K86" i="3"/>
  <c r="F86" i="3"/>
  <c r="E86" i="3"/>
  <c r="K85" i="3"/>
  <c r="F85" i="3"/>
  <c r="E85" i="3"/>
  <c r="K84" i="3"/>
  <c r="F84" i="3"/>
  <c r="E84" i="3"/>
  <c r="K83" i="3"/>
  <c r="F83" i="3"/>
  <c r="E83" i="3"/>
  <c r="K82" i="3"/>
  <c r="F82" i="3"/>
  <c r="E82" i="3"/>
  <c r="K81" i="3"/>
  <c r="F81" i="3"/>
  <c r="E81" i="3"/>
  <c r="K80" i="3"/>
  <c r="F80" i="3"/>
  <c r="E80" i="3"/>
  <c r="K79" i="3"/>
  <c r="F79" i="3"/>
  <c r="E79" i="3"/>
  <c r="K78" i="3"/>
  <c r="F78" i="3"/>
  <c r="E78" i="3"/>
  <c r="K77" i="3"/>
  <c r="F77" i="3"/>
  <c r="E77" i="3"/>
  <c r="K76" i="3"/>
  <c r="F76" i="3"/>
  <c r="E76" i="3"/>
  <c r="K75" i="3"/>
  <c r="F75" i="3"/>
  <c r="E75" i="3"/>
  <c r="K74" i="3"/>
  <c r="F74" i="3"/>
  <c r="E74" i="3"/>
  <c r="K73" i="3"/>
  <c r="F73" i="3"/>
  <c r="E73" i="3"/>
  <c r="K72" i="3"/>
  <c r="F72" i="3"/>
  <c r="E72" i="3"/>
  <c r="K71" i="3"/>
  <c r="F71" i="3"/>
  <c r="E71" i="3"/>
  <c r="K70" i="3"/>
  <c r="F70" i="3"/>
  <c r="E70" i="3"/>
  <c r="K69" i="3"/>
  <c r="F69" i="3"/>
  <c r="E69" i="3"/>
  <c r="K68" i="3"/>
  <c r="F68" i="3"/>
  <c r="E68" i="3"/>
  <c r="K67" i="3"/>
  <c r="F67" i="3"/>
  <c r="E67" i="3"/>
  <c r="K66" i="3"/>
  <c r="F66" i="3"/>
  <c r="E66" i="3"/>
  <c r="K65" i="3"/>
  <c r="F65" i="3"/>
  <c r="E65" i="3"/>
  <c r="C65" i="3" s="1"/>
  <c r="K64" i="3"/>
  <c r="D65" i="3" s="1"/>
  <c r="F64" i="3"/>
  <c r="E64" i="3"/>
  <c r="C64" i="3"/>
  <c r="K63" i="3"/>
  <c r="F63" i="3"/>
  <c r="E63" i="3"/>
  <c r="K62" i="3"/>
  <c r="F62" i="3"/>
  <c r="E62" i="3"/>
  <c r="K61" i="3"/>
  <c r="F61" i="3"/>
  <c r="E61" i="3"/>
  <c r="K60" i="3"/>
  <c r="F60" i="3"/>
  <c r="E60" i="3"/>
  <c r="K59" i="3"/>
  <c r="F59" i="3"/>
  <c r="E59" i="3"/>
  <c r="K58" i="3"/>
  <c r="F58" i="3"/>
  <c r="E58" i="3"/>
  <c r="K57" i="3"/>
  <c r="F57" i="3"/>
  <c r="E57" i="3"/>
  <c r="K56" i="3"/>
  <c r="F56" i="3"/>
  <c r="E56" i="3"/>
  <c r="K55" i="3"/>
  <c r="F55" i="3"/>
  <c r="E55" i="3"/>
  <c r="K54" i="3"/>
  <c r="F54" i="3"/>
  <c r="E54" i="3"/>
  <c r="K53" i="3"/>
  <c r="F53" i="3"/>
  <c r="E53" i="3"/>
  <c r="K52" i="3"/>
  <c r="F52" i="3"/>
  <c r="E52" i="3"/>
  <c r="K51" i="3"/>
  <c r="F51" i="3"/>
  <c r="E51" i="3"/>
  <c r="K50" i="3"/>
  <c r="F50" i="3"/>
  <c r="E50" i="3"/>
  <c r="K49" i="3"/>
  <c r="F49" i="3"/>
  <c r="E49" i="3"/>
  <c r="K48" i="3"/>
  <c r="F48" i="3"/>
  <c r="E48" i="3"/>
  <c r="K47" i="3"/>
  <c r="F47" i="3"/>
  <c r="E47" i="3"/>
  <c r="K46" i="3"/>
  <c r="F46" i="3"/>
  <c r="E46" i="3"/>
  <c r="K45" i="3"/>
  <c r="F45" i="3"/>
  <c r="E45" i="3"/>
  <c r="K44" i="3"/>
  <c r="F44" i="3"/>
  <c r="E44" i="3"/>
  <c r="K43" i="3"/>
  <c r="F43" i="3"/>
  <c r="E43" i="3"/>
  <c r="K42" i="3"/>
  <c r="F42" i="3"/>
  <c r="E42" i="3"/>
  <c r="K41" i="3"/>
  <c r="F41" i="3"/>
  <c r="E41" i="3"/>
  <c r="K40" i="3"/>
  <c r="F40" i="3"/>
  <c r="E40" i="3"/>
  <c r="K39" i="3"/>
  <c r="F39" i="3"/>
  <c r="E39" i="3"/>
  <c r="K38" i="3"/>
  <c r="F38" i="3"/>
  <c r="E38" i="3"/>
  <c r="K37" i="3"/>
  <c r="F37" i="3"/>
  <c r="E37" i="3"/>
  <c r="K36" i="3"/>
  <c r="F36" i="3"/>
  <c r="E36" i="3"/>
  <c r="K35" i="3"/>
  <c r="F35" i="3"/>
  <c r="E35" i="3"/>
  <c r="K34" i="3"/>
  <c r="F34" i="3"/>
  <c r="E34" i="3"/>
  <c r="K33" i="3"/>
  <c r="F33" i="3"/>
  <c r="E33" i="3"/>
  <c r="K32" i="3"/>
  <c r="F32" i="3"/>
  <c r="E32" i="3"/>
  <c r="K31" i="3"/>
  <c r="F31" i="3"/>
  <c r="E31" i="3"/>
  <c r="K30" i="3"/>
  <c r="F30" i="3"/>
  <c r="E30" i="3"/>
  <c r="K29" i="3"/>
  <c r="F29" i="3"/>
  <c r="E29" i="3"/>
  <c r="K28" i="3"/>
  <c r="F28" i="3"/>
  <c r="E28" i="3"/>
  <c r="K27" i="3"/>
  <c r="F27" i="3"/>
  <c r="E27" i="3"/>
  <c r="K26" i="3"/>
  <c r="F26" i="3"/>
  <c r="E26" i="3"/>
  <c r="K25" i="3"/>
  <c r="F25" i="3"/>
  <c r="E25" i="3"/>
  <c r="K24" i="3"/>
  <c r="F24" i="3"/>
  <c r="E24" i="3"/>
  <c r="K23" i="3"/>
  <c r="F23" i="3"/>
  <c r="E23" i="3"/>
  <c r="K22" i="3"/>
  <c r="F22" i="3"/>
  <c r="E22" i="3"/>
  <c r="K21" i="3"/>
  <c r="F21" i="3"/>
  <c r="E21" i="3"/>
  <c r="K20" i="3"/>
  <c r="F20" i="3"/>
  <c r="E20" i="3"/>
  <c r="K19" i="3"/>
  <c r="F19" i="3"/>
  <c r="E19" i="3"/>
  <c r="K18" i="3"/>
  <c r="F18" i="3"/>
  <c r="E18" i="3"/>
  <c r="K17" i="3"/>
  <c r="F17" i="3"/>
  <c r="E17" i="3"/>
  <c r="K16" i="3"/>
  <c r="F16" i="3"/>
  <c r="E16" i="3"/>
  <c r="K15" i="3"/>
  <c r="F15" i="3"/>
  <c r="E15" i="3"/>
  <c r="K14" i="3"/>
  <c r="F14" i="3"/>
  <c r="E14" i="3"/>
  <c r="K13" i="3"/>
  <c r="F13" i="3"/>
  <c r="E13" i="3"/>
  <c r="K12" i="3"/>
  <c r="F12" i="3"/>
  <c r="E12" i="3"/>
  <c r="K11" i="3"/>
  <c r="F11" i="3"/>
  <c r="E11" i="3"/>
  <c r="K10" i="3"/>
  <c r="F10" i="3"/>
  <c r="E10" i="3"/>
  <c r="K9" i="3"/>
  <c r="F9" i="3"/>
  <c r="E9" i="3"/>
  <c r="K8" i="3"/>
  <c r="F8" i="3"/>
  <c r="E8" i="3"/>
  <c r="K7" i="3"/>
  <c r="F7" i="3"/>
  <c r="E7" i="3"/>
  <c r="K6" i="3"/>
  <c r="F6" i="3"/>
  <c r="E6" i="3"/>
  <c r="C7" i="3" s="1"/>
  <c r="K5" i="3"/>
  <c r="F5" i="3"/>
  <c r="E5" i="3"/>
  <c r="K4" i="3"/>
  <c r="F4" i="3"/>
  <c r="E4" i="3"/>
  <c r="K3" i="3"/>
  <c r="F3" i="3"/>
  <c r="E3" i="3"/>
  <c r="K2" i="3"/>
  <c r="F2" i="3"/>
  <c r="E2" i="3"/>
  <c r="D274" i="9" l="1"/>
  <c r="C275" i="9"/>
  <c r="D275" i="9" s="1"/>
  <c r="C73" i="9"/>
  <c r="D72" i="9"/>
  <c r="D292" i="9"/>
  <c r="C293" i="9"/>
  <c r="D210" i="9"/>
  <c r="C227" i="8"/>
  <c r="D226" i="8"/>
  <c r="D396" i="8"/>
  <c r="C397" i="8"/>
  <c r="C93" i="8"/>
  <c r="D92" i="8"/>
  <c r="C32" i="8"/>
  <c r="D31" i="8"/>
  <c r="C287" i="8"/>
  <c r="D286" i="8"/>
  <c r="C145" i="8"/>
  <c r="D144" i="8"/>
  <c r="C8" i="3"/>
  <c r="C9" i="3" s="1"/>
  <c r="D7" i="3"/>
  <c r="D8" i="3"/>
  <c r="D64" i="3"/>
  <c r="C2" i="3"/>
  <c r="D2" i="3" s="1"/>
  <c r="C66" i="3"/>
  <c r="D66" i="3" s="1"/>
  <c r="C118" i="3"/>
  <c r="D118" i="3" s="1"/>
  <c r="D202" i="3"/>
  <c r="C203" i="3"/>
  <c r="C360" i="3"/>
  <c r="D361" i="3"/>
  <c r="D406" i="3"/>
  <c r="D405" i="3"/>
  <c r="C408" i="3"/>
  <c r="D408" i="3" s="1"/>
  <c r="D404" i="3"/>
  <c r="D264" i="3"/>
  <c r="C265" i="3"/>
  <c r="D265" i="3" s="1"/>
  <c r="C338" i="3"/>
  <c r="D360" i="3"/>
  <c r="D359" i="3"/>
  <c r="C362" i="3"/>
  <c r="C361" i="3"/>
  <c r="C370" i="3"/>
  <c r="D407" i="3"/>
  <c r="D73" i="9" l="1"/>
  <c r="C74" i="9"/>
  <c r="D293" i="9"/>
  <c r="C295" i="9"/>
  <c r="C398" i="8"/>
  <c r="D397" i="8"/>
  <c r="D145" i="8"/>
  <c r="C146" i="8"/>
  <c r="C33" i="8"/>
  <c r="D32" i="8"/>
  <c r="C288" i="8"/>
  <c r="D287" i="8"/>
  <c r="D93" i="8"/>
  <c r="C94" i="8"/>
  <c r="C228" i="8"/>
  <c r="D227" i="8"/>
  <c r="C266" i="3"/>
  <c r="D203" i="3"/>
  <c r="C204" i="3"/>
  <c r="C371" i="3"/>
  <c r="D370" i="3"/>
  <c r="C339" i="3"/>
  <c r="D338" i="3"/>
  <c r="C363" i="3"/>
  <c r="D362" i="3"/>
  <c r="D9" i="3"/>
  <c r="C10" i="3"/>
  <c r="C67" i="3"/>
  <c r="C3" i="3"/>
  <c r="C119" i="3"/>
  <c r="C75" i="9" l="1"/>
  <c r="D74" i="9"/>
  <c r="D295" i="9"/>
  <c r="C147" i="8"/>
  <c r="D146" i="8"/>
  <c r="D228" i="8"/>
  <c r="C229" i="8"/>
  <c r="C289" i="8"/>
  <c r="D288" i="8"/>
  <c r="D94" i="8"/>
  <c r="C95" i="8"/>
  <c r="C34" i="8"/>
  <c r="D33" i="8"/>
  <c r="D398" i="8"/>
  <c r="C399" i="8"/>
  <c r="D67" i="3"/>
  <c r="C68" i="3"/>
  <c r="C205" i="3"/>
  <c r="D204" i="3"/>
  <c r="C372" i="3"/>
  <c r="D371" i="3"/>
  <c r="D119" i="3"/>
  <c r="C120" i="3"/>
  <c r="C340" i="3"/>
  <c r="D339" i="3"/>
  <c r="C364" i="3"/>
  <c r="D363" i="3"/>
  <c r="D10" i="3"/>
  <c r="C11" i="3"/>
  <c r="C4" i="3"/>
  <c r="D3" i="3"/>
  <c r="C267" i="3"/>
  <c r="D266" i="3"/>
  <c r="D75" i="9" l="1"/>
  <c r="C76" i="9"/>
  <c r="D76" i="9" s="1"/>
  <c r="C400" i="8"/>
  <c r="D399" i="8"/>
  <c r="C96" i="8"/>
  <c r="D95" i="8"/>
  <c r="C230" i="8"/>
  <c r="D229" i="8"/>
  <c r="C35" i="8"/>
  <c r="D34" i="8"/>
  <c r="C290" i="8"/>
  <c r="D289" i="8"/>
  <c r="C148" i="8"/>
  <c r="D147" i="8"/>
  <c r="C365" i="3"/>
  <c r="D364" i="3"/>
  <c r="D205" i="3"/>
  <c r="C206" i="3"/>
  <c r="C121" i="3"/>
  <c r="D120" i="3"/>
  <c r="C5" i="3"/>
  <c r="D4" i="3"/>
  <c r="C69" i="3"/>
  <c r="D68" i="3"/>
  <c r="D11" i="3"/>
  <c r="C12" i="3"/>
  <c r="D267" i="3"/>
  <c r="C268" i="3"/>
  <c r="C341" i="3"/>
  <c r="D340" i="3"/>
  <c r="C373" i="3"/>
  <c r="D372" i="3"/>
  <c r="D148" i="8" l="1"/>
  <c r="C149" i="8"/>
  <c r="D35" i="8"/>
  <c r="C36" i="8"/>
  <c r="C97" i="8"/>
  <c r="D96" i="8"/>
  <c r="D290" i="8"/>
  <c r="D291" i="8" s="1"/>
  <c r="D292" i="8" s="1"/>
  <c r="D293" i="8" s="1"/>
  <c r="D294" i="8" s="1"/>
  <c r="D295" i="8" s="1"/>
  <c r="D296" i="8" s="1"/>
  <c r="D297" i="8" s="1"/>
  <c r="D298" i="8" s="1"/>
  <c r="D299" i="8" s="1"/>
  <c r="C291" i="8"/>
  <c r="C292" i="8" s="1"/>
  <c r="C293" i="8" s="1"/>
  <c r="C294" i="8" s="1"/>
  <c r="C295" i="8" s="1"/>
  <c r="C296" i="8" s="1"/>
  <c r="C297" i="8" s="1"/>
  <c r="C298" i="8" s="1"/>
  <c r="C299" i="8" s="1"/>
  <c r="C300" i="8" s="1"/>
  <c r="C231" i="8"/>
  <c r="D230" i="8"/>
  <c r="D400" i="8"/>
  <c r="D401" i="8" s="1"/>
  <c r="C401" i="8"/>
  <c r="C13" i="3"/>
  <c r="C14" i="3" s="1"/>
  <c r="D12" i="3"/>
  <c r="D13" i="3" s="1"/>
  <c r="C6" i="3"/>
  <c r="D5" i="3"/>
  <c r="D6" i="3" s="1"/>
  <c r="C207" i="3"/>
  <c r="D206" i="3"/>
  <c r="C342" i="3"/>
  <c r="D341" i="3"/>
  <c r="D268" i="3"/>
  <c r="C269" i="3"/>
  <c r="C374" i="3"/>
  <c r="D373" i="3"/>
  <c r="D69" i="3"/>
  <c r="C70" i="3"/>
  <c r="D121" i="3"/>
  <c r="C122" i="3"/>
  <c r="D365" i="3"/>
  <c r="C366" i="3"/>
  <c r="C77" i="9" l="1"/>
  <c r="C78" i="9" s="1"/>
  <c r="C79" i="9" s="1"/>
  <c r="D79" i="9" s="1"/>
  <c r="C150" i="8"/>
  <c r="D149" i="8"/>
  <c r="C232" i="8"/>
  <c r="D231" i="8"/>
  <c r="D97" i="8"/>
  <c r="C98" i="8"/>
  <c r="C301" i="8"/>
  <c r="D300" i="8"/>
  <c r="C37" i="8"/>
  <c r="D36" i="8"/>
  <c r="C375" i="3"/>
  <c r="D374" i="3"/>
  <c r="C367" i="3"/>
  <c r="D366" i="3"/>
  <c r="D70" i="3"/>
  <c r="C71" i="3"/>
  <c r="C270" i="3"/>
  <c r="D269" i="3"/>
  <c r="D122" i="3"/>
  <c r="C123" i="3"/>
  <c r="C343" i="3"/>
  <c r="D342" i="3"/>
  <c r="C208" i="3"/>
  <c r="D207" i="3"/>
  <c r="D14" i="3"/>
  <c r="C15" i="3"/>
  <c r="D78" i="9" l="1"/>
  <c r="D77" i="9"/>
  <c r="C38" i="8"/>
  <c r="D37" i="8"/>
  <c r="C151" i="8"/>
  <c r="D150" i="8"/>
  <c r="C302" i="8"/>
  <c r="D301" i="8"/>
  <c r="C233" i="8"/>
  <c r="D232" i="8"/>
  <c r="D98" i="8"/>
  <c r="C99" i="8"/>
  <c r="C344" i="3"/>
  <c r="D343" i="3"/>
  <c r="C72" i="3"/>
  <c r="D71" i="3"/>
  <c r="D15" i="3"/>
  <c r="C16" i="3"/>
  <c r="C271" i="3"/>
  <c r="D270" i="3"/>
  <c r="C368" i="3"/>
  <c r="C369" i="3" s="1"/>
  <c r="D369" i="3" s="1"/>
  <c r="D367" i="3"/>
  <c r="D368" i="3" s="1"/>
  <c r="C124" i="3"/>
  <c r="D123" i="3"/>
  <c r="D208" i="3"/>
  <c r="C209" i="3"/>
  <c r="C376" i="3"/>
  <c r="D375" i="3"/>
  <c r="C158" i="9" l="1"/>
  <c r="C234" i="8"/>
  <c r="D233" i="8"/>
  <c r="C152" i="8"/>
  <c r="D151" i="8"/>
  <c r="C303" i="8"/>
  <c r="D302" i="8"/>
  <c r="C100" i="8"/>
  <c r="D99" i="8"/>
  <c r="D38" i="8"/>
  <c r="C39" i="8"/>
  <c r="C125" i="3"/>
  <c r="D124" i="3"/>
  <c r="C17" i="3"/>
  <c r="D16" i="3"/>
  <c r="D376" i="3"/>
  <c r="C377" i="3"/>
  <c r="C272" i="3"/>
  <c r="D271" i="3"/>
  <c r="C73" i="3"/>
  <c r="D72" i="3"/>
  <c r="C210" i="3"/>
  <c r="C211" i="3" s="1"/>
  <c r="D209" i="3"/>
  <c r="D210" i="3" s="1"/>
  <c r="D344" i="3"/>
  <c r="C345" i="3"/>
  <c r="D158" i="9" l="1"/>
  <c r="C235" i="8"/>
  <c r="D234" i="8"/>
  <c r="D100" i="8"/>
  <c r="C101" i="8"/>
  <c r="C153" i="8"/>
  <c r="D152" i="8"/>
  <c r="D303" i="8"/>
  <c r="C304" i="8"/>
  <c r="D39" i="8"/>
  <c r="C40" i="8"/>
  <c r="D73" i="3"/>
  <c r="C74" i="3"/>
  <c r="D125" i="3"/>
  <c r="C126" i="3"/>
  <c r="C273" i="3"/>
  <c r="D272" i="3"/>
  <c r="C18" i="3"/>
  <c r="D17" i="3"/>
  <c r="C212" i="3"/>
  <c r="D211" i="3"/>
  <c r="D345" i="3"/>
  <c r="C346" i="3"/>
  <c r="D377" i="3"/>
  <c r="C378" i="3"/>
  <c r="C80" i="9" l="1"/>
  <c r="C81" i="9" s="1"/>
  <c r="D81" i="9" s="1"/>
  <c r="C41" i="8"/>
  <c r="D40" i="8"/>
  <c r="C305" i="8"/>
  <c r="D304" i="8"/>
  <c r="C102" i="8"/>
  <c r="D101" i="8"/>
  <c r="D153" i="8"/>
  <c r="C154" i="8"/>
  <c r="C236" i="8"/>
  <c r="D235" i="8"/>
  <c r="C347" i="3"/>
  <c r="D346" i="3"/>
  <c r="D126" i="3"/>
  <c r="C127" i="3"/>
  <c r="C213" i="3"/>
  <c r="D212" i="3"/>
  <c r="D273" i="3"/>
  <c r="C274" i="3"/>
  <c r="D18" i="3"/>
  <c r="C19" i="3"/>
  <c r="C379" i="3"/>
  <c r="D378" i="3"/>
  <c r="D74" i="3"/>
  <c r="C75" i="3"/>
  <c r="D80" i="9" l="1"/>
  <c r="D236" i="8"/>
  <c r="C237" i="8"/>
  <c r="C155" i="8"/>
  <c r="D154" i="8"/>
  <c r="C306" i="8"/>
  <c r="D305" i="8"/>
  <c r="C103" i="8"/>
  <c r="D102" i="8"/>
  <c r="D41" i="8"/>
  <c r="C42" i="8"/>
  <c r="D347" i="3"/>
  <c r="C348" i="3"/>
  <c r="C275" i="3"/>
  <c r="D274" i="3"/>
  <c r="C128" i="3"/>
  <c r="D127" i="3"/>
  <c r="D379" i="3"/>
  <c r="C380" i="3"/>
  <c r="C76" i="3"/>
  <c r="D75" i="3"/>
  <c r="D19" i="3"/>
  <c r="C20" i="3"/>
  <c r="C214" i="3"/>
  <c r="D213" i="3"/>
  <c r="D237" i="8" l="1"/>
  <c r="C238" i="8"/>
  <c r="C104" i="8"/>
  <c r="D103" i="8"/>
  <c r="C156" i="8"/>
  <c r="D155" i="8"/>
  <c r="C43" i="8"/>
  <c r="D42" i="8"/>
  <c r="C307" i="8"/>
  <c r="D306" i="8"/>
  <c r="D76" i="3"/>
  <c r="C77" i="3"/>
  <c r="C21" i="3"/>
  <c r="C22" i="3" s="1"/>
  <c r="D20" i="3"/>
  <c r="D21" i="3" s="1"/>
  <c r="C381" i="3"/>
  <c r="D380" i="3"/>
  <c r="D275" i="3"/>
  <c r="C276" i="3"/>
  <c r="C215" i="3"/>
  <c r="D214" i="3"/>
  <c r="C129" i="3"/>
  <c r="D128" i="3"/>
  <c r="C349" i="3"/>
  <c r="C350" i="3" s="1"/>
  <c r="C351" i="3" s="1"/>
  <c r="C352" i="3" s="1"/>
  <c r="D348" i="3"/>
  <c r="D349" i="3" s="1"/>
  <c r="D350" i="3" s="1"/>
  <c r="D351" i="3" s="1"/>
  <c r="C44" i="8" l="1"/>
  <c r="D43" i="8"/>
  <c r="C239" i="8"/>
  <c r="D238" i="8"/>
  <c r="D104" i="8"/>
  <c r="C105" i="8"/>
  <c r="D307" i="8"/>
  <c r="C308" i="8"/>
  <c r="D156" i="8"/>
  <c r="C157" i="8"/>
  <c r="C382" i="3"/>
  <c r="D381" i="3"/>
  <c r="C277" i="3"/>
  <c r="D276" i="3"/>
  <c r="C130" i="3"/>
  <c r="D129" i="3"/>
  <c r="D22" i="3"/>
  <c r="C23" i="3"/>
  <c r="C216" i="3"/>
  <c r="D215" i="3"/>
  <c r="D77" i="3"/>
  <c r="D78" i="3" s="1"/>
  <c r="D79" i="3" s="1"/>
  <c r="D80" i="3" s="1"/>
  <c r="C78" i="3"/>
  <c r="C79" i="3" s="1"/>
  <c r="C80" i="3" s="1"/>
  <c r="C81" i="3" s="1"/>
  <c r="C353" i="3"/>
  <c r="D352" i="3"/>
  <c r="C309" i="8" l="1"/>
  <c r="D308" i="8"/>
  <c r="C240" i="8"/>
  <c r="C241" i="8" s="1"/>
  <c r="C242" i="8" s="1"/>
  <c r="C243" i="8" s="1"/>
  <c r="D239" i="8"/>
  <c r="D240" i="8" s="1"/>
  <c r="D241" i="8" s="1"/>
  <c r="D242" i="8" s="1"/>
  <c r="C158" i="8"/>
  <c r="D157" i="8"/>
  <c r="C106" i="8"/>
  <c r="D105" i="8"/>
  <c r="D44" i="8"/>
  <c r="C45" i="8"/>
  <c r="D216" i="3"/>
  <c r="C217" i="3"/>
  <c r="D81" i="3"/>
  <c r="C82" i="3"/>
  <c r="C24" i="3"/>
  <c r="D23" i="3"/>
  <c r="D353" i="3"/>
  <c r="C354" i="3"/>
  <c r="C278" i="3"/>
  <c r="D277" i="3"/>
  <c r="D130" i="3"/>
  <c r="C131" i="3"/>
  <c r="C383" i="3"/>
  <c r="D382" i="3"/>
  <c r="C107" i="8" l="1"/>
  <c r="D106" i="8"/>
  <c r="D45" i="8"/>
  <c r="C46" i="8"/>
  <c r="C244" i="8"/>
  <c r="D243" i="8"/>
  <c r="C159" i="8"/>
  <c r="D158" i="8"/>
  <c r="C310" i="8"/>
  <c r="C311" i="8" s="1"/>
  <c r="D309" i="8"/>
  <c r="D310" i="8" s="1"/>
  <c r="C279" i="3"/>
  <c r="D278" i="3"/>
  <c r="C25" i="3"/>
  <c r="D24" i="3"/>
  <c r="D131" i="3"/>
  <c r="C132" i="3"/>
  <c r="C355" i="3"/>
  <c r="D354" i="3"/>
  <c r="D82" i="3"/>
  <c r="C83" i="3"/>
  <c r="C384" i="3"/>
  <c r="D383" i="3"/>
  <c r="C218" i="3"/>
  <c r="D217" i="3"/>
  <c r="D46" i="8" l="1"/>
  <c r="C47" i="8"/>
  <c r="C160" i="8"/>
  <c r="D159" i="8"/>
  <c r="C312" i="8"/>
  <c r="D311" i="8"/>
  <c r="D244" i="8"/>
  <c r="C245" i="8"/>
  <c r="C108" i="8"/>
  <c r="D107" i="8"/>
  <c r="C385" i="3"/>
  <c r="D384" i="3"/>
  <c r="D25" i="3"/>
  <c r="C26" i="3"/>
  <c r="D218" i="3"/>
  <c r="C219" i="3"/>
  <c r="C356" i="3"/>
  <c r="C357" i="3" s="1"/>
  <c r="D355" i="3"/>
  <c r="D356" i="3" s="1"/>
  <c r="D83" i="3"/>
  <c r="C84" i="3"/>
  <c r="C133" i="3"/>
  <c r="D132" i="3"/>
  <c r="D279" i="3"/>
  <c r="C280" i="3"/>
  <c r="C82" i="9" l="1"/>
  <c r="C83" i="9" s="1"/>
  <c r="D83" i="9" s="1"/>
  <c r="C246" i="8"/>
  <c r="D245" i="8"/>
  <c r="C161" i="8"/>
  <c r="D160" i="8"/>
  <c r="C48" i="8"/>
  <c r="C49" i="8" s="1"/>
  <c r="C50" i="8" s="1"/>
  <c r="D47" i="8"/>
  <c r="D48" i="8" s="1"/>
  <c r="D49" i="8" s="1"/>
  <c r="C109" i="8"/>
  <c r="D108" i="8"/>
  <c r="D312" i="8"/>
  <c r="C313" i="8"/>
  <c r="D26" i="3"/>
  <c r="C27" i="3"/>
  <c r="D357" i="3"/>
  <c r="C358" i="3"/>
  <c r="D358" i="3" s="1"/>
  <c r="C134" i="3"/>
  <c r="D133" i="3"/>
  <c r="D280" i="3"/>
  <c r="C281" i="3"/>
  <c r="C85" i="3"/>
  <c r="D84" i="3"/>
  <c r="C220" i="3"/>
  <c r="D219" i="3"/>
  <c r="D385" i="3"/>
  <c r="C386" i="3"/>
  <c r="C84" i="9" l="1"/>
  <c r="C85" i="9" s="1"/>
  <c r="D82" i="9"/>
  <c r="C110" i="8"/>
  <c r="D109" i="8"/>
  <c r="D161" i="8"/>
  <c r="D162" i="8" s="1"/>
  <c r="C162" i="8"/>
  <c r="C163" i="8" s="1"/>
  <c r="C314" i="8"/>
  <c r="D313" i="8"/>
  <c r="C51" i="8"/>
  <c r="D50" i="8"/>
  <c r="D246" i="8"/>
  <c r="C247" i="8"/>
  <c r="C135" i="3"/>
  <c r="D134" i="3"/>
  <c r="C282" i="3"/>
  <c r="D281" i="3"/>
  <c r="C221" i="3"/>
  <c r="D220" i="3"/>
  <c r="D85" i="3"/>
  <c r="C86" i="3"/>
  <c r="C387" i="3"/>
  <c r="D386" i="3"/>
  <c r="D27" i="3"/>
  <c r="C28" i="3"/>
  <c r="C86" i="9" l="1"/>
  <c r="D85" i="9"/>
  <c r="D84" i="9"/>
  <c r="C164" i="8"/>
  <c r="D163" i="8"/>
  <c r="C52" i="8"/>
  <c r="D51" i="8"/>
  <c r="C248" i="8"/>
  <c r="D247" i="8"/>
  <c r="D314" i="8"/>
  <c r="C315" i="8"/>
  <c r="C111" i="8"/>
  <c r="D110" i="8"/>
  <c r="C222" i="3"/>
  <c r="D221" i="3"/>
  <c r="D28" i="3"/>
  <c r="C29" i="3"/>
  <c r="D86" i="3"/>
  <c r="C87" i="3"/>
  <c r="C283" i="3"/>
  <c r="D282" i="3"/>
  <c r="D387" i="3"/>
  <c r="C388" i="3"/>
  <c r="D135" i="3"/>
  <c r="D136" i="3" s="1"/>
  <c r="D137" i="3" s="1"/>
  <c r="D138" i="3" s="1"/>
  <c r="D139" i="3" s="1"/>
  <c r="D140" i="3" s="1"/>
  <c r="C136" i="3"/>
  <c r="C137" i="3" s="1"/>
  <c r="C138" i="3" s="1"/>
  <c r="C139" i="3" s="1"/>
  <c r="C140" i="3" s="1"/>
  <c r="C141" i="3" s="1"/>
  <c r="D86" i="9" l="1"/>
  <c r="C87" i="9"/>
  <c r="D315" i="8"/>
  <c r="C316" i="8"/>
  <c r="D52" i="8"/>
  <c r="C53" i="8"/>
  <c r="C112" i="8"/>
  <c r="D111" i="8"/>
  <c r="C249" i="8"/>
  <c r="D248" i="8"/>
  <c r="D164" i="8"/>
  <c r="C165" i="8"/>
  <c r="D29" i="3"/>
  <c r="C30" i="3"/>
  <c r="C142" i="3"/>
  <c r="D141" i="3"/>
  <c r="D283" i="3"/>
  <c r="C284" i="3"/>
  <c r="D388" i="3"/>
  <c r="D389" i="3" s="1"/>
  <c r="C389" i="3"/>
  <c r="C390" i="3" s="1"/>
  <c r="C88" i="3"/>
  <c r="D87" i="3"/>
  <c r="C223" i="3"/>
  <c r="C224" i="3" s="1"/>
  <c r="C225" i="3" s="1"/>
  <c r="D222" i="3"/>
  <c r="D223" i="3" s="1"/>
  <c r="D224" i="3" s="1"/>
  <c r="D87" i="9" l="1"/>
  <c r="C88" i="9"/>
  <c r="D53" i="8"/>
  <c r="C54" i="8"/>
  <c r="D249" i="8"/>
  <c r="C250" i="8"/>
  <c r="C166" i="8"/>
  <c r="D165" i="8"/>
  <c r="D316" i="8"/>
  <c r="C317" i="8"/>
  <c r="C113" i="8"/>
  <c r="D112" i="8"/>
  <c r="C143" i="3"/>
  <c r="D142" i="3"/>
  <c r="C226" i="3"/>
  <c r="D225" i="3"/>
  <c r="D30" i="3"/>
  <c r="C31" i="3"/>
  <c r="C391" i="3"/>
  <c r="D390" i="3"/>
  <c r="D284" i="3"/>
  <c r="C285" i="3"/>
  <c r="C89" i="3"/>
  <c r="D88" i="3"/>
  <c r="C89" i="9" l="1"/>
  <c r="D88" i="9"/>
  <c r="C318" i="8"/>
  <c r="D317" i="8"/>
  <c r="C251" i="8"/>
  <c r="D250" i="8"/>
  <c r="D54" i="8"/>
  <c r="C55" i="8"/>
  <c r="D113" i="8"/>
  <c r="C114" i="8"/>
  <c r="C167" i="8"/>
  <c r="D166" i="8"/>
  <c r="D89" i="3"/>
  <c r="C90" i="3"/>
  <c r="D285" i="3"/>
  <c r="C286" i="3"/>
  <c r="C392" i="3"/>
  <c r="D391" i="3"/>
  <c r="D226" i="3"/>
  <c r="C227" i="3"/>
  <c r="C32" i="3"/>
  <c r="D31" i="3"/>
  <c r="D143" i="3"/>
  <c r="C144" i="3"/>
  <c r="D89" i="9" l="1"/>
  <c r="C90" i="9"/>
  <c r="C115" i="8"/>
  <c r="D114" i="8"/>
  <c r="C252" i="8"/>
  <c r="D251" i="8"/>
  <c r="C56" i="8"/>
  <c r="D55" i="8"/>
  <c r="C168" i="8"/>
  <c r="D167" i="8"/>
  <c r="C319" i="8"/>
  <c r="D318" i="8"/>
  <c r="C145" i="3"/>
  <c r="D144" i="3"/>
  <c r="C228" i="3"/>
  <c r="D227" i="3"/>
  <c r="D90" i="3"/>
  <c r="C91" i="3"/>
  <c r="C287" i="3"/>
  <c r="D286" i="3"/>
  <c r="C33" i="3"/>
  <c r="D32" i="3"/>
  <c r="D392" i="3"/>
  <c r="C393" i="3"/>
  <c r="C91" i="9" l="1"/>
  <c r="D90" i="9"/>
  <c r="C169" i="8"/>
  <c r="D168" i="8"/>
  <c r="C253" i="8"/>
  <c r="D252" i="8"/>
  <c r="C320" i="8"/>
  <c r="D319" i="8"/>
  <c r="C57" i="8"/>
  <c r="D56" i="8"/>
  <c r="C116" i="8"/>
  <c r="D115" i="8"/>
  <c r="D116" i="8" s="1"/>
  <c r="D91" i="3"/>
  <c r="C92" i="3"/>
  <c r="C395" i="3"/>
  <c r="D393" i="3"/>
  <c r="C288" i="3"/>
  <c r="D287" i="3"/>
  <c r="C229" i="3"/>
  <c r="D228" i="3"/>
  <c r="C34" i="3"/>
  <c r="D33" i="3"/>
  <c r="C146" i="3"/>
  <c r="D145" i="3"/>
  <c r="C92" i="9" l="1"/>
  <c r="D91" i="9"/>
  <c r="D57" i="8"/>
  <c r="C58" i="8"/>
  <c r="C254" i="8"/>
  <c r="D253" i="8"/>
  <c r="C321" i="8"/>
  <c r="D320" i="8"/>
  <c r="D169" i="8"/>
  <c r="C170" i="8"/>
  <c r="C147" i="3"/>
  <c r="D146" i="3"/>
  <c r="C230" i="3"/>
  <c r="D229" i="3"/>
  <c r="D395" i="3"/>
  <c r="C396" i="3"/>
  <c r="D92" i="3"/>
  <c r="C93" i="3"/>
  <c r="D34" i="3"/>
  <c r="C35" i="3"/>
  <c r="C289" i="3"/>
  <c r="D288" i="3"/>
  <c r="D92" i="9" l="1"/>
  <c r="C93" i="9"/>
  <c r="C171" i="8"/>
  <c r="D170" i="8"/>
  <c r="D254" i="8"/>
  <c r="C255" i="8"/>
  <c r="C59" i="8"/>
  <c r="C60" i="8" s="1"/>
  <c r="D58" i="8"/>
  <c r="D59" i="8" s="1"/>
  <c r="C322" i="8"/>
  <c r="D321" i="8"/>
  <c r="D93" i="3"/>
  <c r="C94" i="3"/>
  <c r="D289" i="3"/>
  <c r="C290" i="3"/>
  <c r="C397" i="3"/>
  <c r="D396" i="3"/>
  <c r="C231" i="3"/>
  <c r="D230" i="3"/>
  <c r="C36" i="3"/>
  <c r="D35" i="3"/>
  <c r="C148" i="3"/>
  <c r="D147" i="3"/>
  <c r="C94" i="9" l="1"/>
  <c r="D93" i="9"/>
  <c r="C323" i="8"/>
  <c r="D322" i="8"/>
  <c r="D255" i="8"/>
  <c r="C256" i="8"/>
  <c r="D60" i="8"/>
  <c r="C61" i="8"/>
  <c r="C172" i="8"/>
  <c r="D171" i="8"/>
  <c r="C149" i="3"/>
  <c r="D148" i="3"/>
  <c r="C291" i="3"/>
  <c r="C292" i="3" s="1"/>
  <c r="C293" i="3" s="1"/>
  <c r="C294" i="3" s="1"/>
  <c r="C295" i="3" s="1"/>
  <c r="C296" i="3" s="1"/>
  <c r="C297" i="3" s="1"/>
  <c r="C298" i="3" s="1"/>
  <c r="C299" i="3" s="1"/>
  <c r="C300" i="3" s="1"/>
  <c r="D290" i="3"/>
  <c r="D291" i="3" s="1"/>
  <c r="D292" i="3" s="1"/>
  <c r="D293" i="3" s="1"/>
  <c r="D294" i="3" s="1"/>
  <c r="D295" i="3" s="1"/>
  <c r="D296" i="3" s="1"/>
  <c r="D297" i="3" s="1"/>
  <c r="D298" i="3" s="1"/>
  <c r="D299" i="3" s="1"/>
  <c r="C232" i="3"/>
  <c r="D231" i="3"/>
  <c r="D94" i="3"/>
  <c r="C95" i="3"/>
  <c r="C37" i="3"/>
  <c r="D36" i="3"/>
  <c r="D397" i="3"/>
  <c r="C398" i="3"/>
  <c r="D94" i="9" l="1"/>
  <c r="C95" i="9"/>
  <c r="D61" i="8"/>
  <c r="C62" i="8"/>
  <c r="D256" i="8"/>
  <c r="C257" i="8"/>
  <c r="D172" i="8"/>
  <c r="C173" i="8"/>
  <c r="D323" i="8"/>
  <c r="C324" i="8"/>
  <c r="C96" i="3"/>
  <c r="D95" i="3"/>
  <c r="C301" i="3"/>
  <c r="D300" i="3"/>
  <c r="C399" i="3"/>
  <c r="D398" i="3"/>
  <c r="D37" i="3"/>
  <c r="C38" i="3"/>
  <c r="D232" i="3"/>
  <c r="C233" i="3"/>
  <c r="C150" i="3"/>
  <c r="D149" i="3"/>
  <c r="C96" i="9" l="1"/>
  <c r="D95" i="9"/>
  <c r="C258" i="8"/>
  <c r="D257" i="8"/>
  <c r="D324" i="8"/>
  <c r="C325" i="8"/>
  <c r="D173" i="8"/>
  <c r="C174" i="8"/>
  <c r="D62" i="8"/>
  <c r="C63" i="8"/>
  <c r="D63" i="8" s="1"/>
  <c r="D96" i="3"/>
  <c r="C97" i="3"/>
  <c r="D38" i="3"/>
  <c r="C39" i="3"/>
  <c r="D399" i="3"/>
  <c r="C400" i="3"/>
  <c r="C151" i="3"/>
  <c r="D150" i="3"/>
  <c r="C302" i="3"/>
  <c r="D301" i="3"/>
  <c r="C234" i="3"/>
  <c r="D233" i="3"/>
  <c r="D96" i="9" l="1"/>
  <c r="C97" i="9"/>
  <c r="C326" i="8"/>
  <c r="D325" i="8"/>
  <c r="C175" i="8"/>
  <c r="D174" i="8"/>
  <c r="C259" i="8"/>
  <c r="D258" i="8"/>
  <c r="C40" i="3"/>
  <c r="D39" i="3"/>
  <c r="C303" i="3"/>
  <c r="D302" i="3"/>
  <c r="D151" i="3"/>
  <c r="C152" i="3"/>
  <c r="D234" i="3"/>
  <c r="C235" i="3"/>
  <c r="D400" i="3"/>
  <c r="D401" i="3" s="1"/>
  <c r="C401" i="3"/>
  <c r="C98" i="3"/>
  <c r="D97" i="3"/>
  <c r="C98" i="9" l="1"/>
  <c r="D98" i="9" s="1"/>
  <c r="D97" i="9"/>
  <c r="C176" i="8"/>
  <c r="D175" i="8"/>
  <c r="D259" i="8"/>
  <c r="C260" i="8"/>
  <c r="D326" i="8"/>
  <c r="C327" i="8"/>
  <c r="C236" i="3"/>
  <c r="D235" i="3"/>
  <c r="D98" i="3"/>
  <c r="C99" i="3"/>
  <c r="C304" i="3"/>
  <c r="D303" i="3"/>
  <c r="D152" i="3"/>
  <c r="C153" i="3"/>
  <c r="D40" i="3"/>
  <c r="C41" i="3"/>
  <c r="C328" i="8" l="1"/>
  <c r="D327" i="8"/>
  <c r="C261" i="8"/>
  <c r="D260" i="8"/>
  <c r="D176" i="8"/>
  <c r="C177" i="8"/>
  <c r="C305" i="3"/>
  <c r="D304" i="3"/>
  <c r="C154" i="3"/>
  <c r="D153" i="3"/>
  <c r="D99" i="3"/>
  <c r="C100" i="3"/>
  <c r="D41" i="3"/>
  <c r="C42" i="3"/>
  <c r="C237" i="3"/>
  <c r="D236" i="3"/>
  <c r="C262" i="8" l="1"/>
  <c r="D261" i="8"/>
  <c r="C178" i="8"/>
  <c r="D177" i="8"/>
  <c r="D328" i="8"/>
  <c r="C329" i="8"/>
  <c r="D237" i="3"/>
  <c r="C238" i="3"/>
  <c r="C155" i="3"/>
  <c r="D154" i="3"/>
  <c r="C306" i="3"/>
  <c r="D305" i="3"/>
  <c r="D42" i="3"/>
  <c r="C43" i="3"/>
  <c r="C101" i="3"/>
  <c r="D100" i="3"/>
  <c r="C179" i="8" l="1"/>
  <c r="D178" i="8"/>
  <c r="C330" i="8"/>
  <c r="D329" i="8"/>
  <c r="D262" i="8"/>
  <c r="C263" i="8"/>
  <c r="D263" i="8" s="1"/>
  <c r="C44" i="3"/>
  <c r="D43" i="3"/>
  <c r="C307" i="3"/>
  <c r="D306" i="3"/>
  <c r="C156" i="3"/>
  <c r="D155" i="3"/>
  <c r="D101" i="3"/>
  <c r="C102" i="3"/>
  <c r="C239" i="3"/>
  <c r="D238" i="3"/>
  <c r="D330" i="8" l="1"/>
  <c r="D331" i="8" s="1"/>
  <c r="C331" i="8"/>
  <c r="C332" i="8" s="1"/>
  <c r="D179" i="8"/>
  <c r="C180" i="8"/>
  <c r="C157" i="3"/>
  <c r="D156" i="3"/>
  <c r="D102" i="3"/>
  <c r="C103" i="3"/>
  <c r="D307" i="3"/>
  <c r="C308" i="3"/>
  <c r="D239" i="3"/>
  <c r="D240" i="3" s="1"/>
  <c r="D241" i="3" s="1"/>
  <c r="D242" i="3" s="1"/>
  <c r="C240" i="3"/>
  <c r="C241" i="3" s="1"/>
  <c r="C242" i="3" s="1"/>
  <c r="C243" i="3" s="1"/>
  <c r="C45" i="3"/>
  <c r="D44" i="3"/>
  <c r="D180" i="8" l="1"/>
  <c r="C181" i="8"/>
  <c r="D332" i="8"/>
  <c r="C333" i="8"/>
  <c r="D243" i="3"/>
  <c r="C244" i="3"/>
  <c r="C104" i="3"/>
  <c r="D103" i="3"/>
  <c r="D45" i="3"/>
  <c r="C46" i="3"/>
  <c r="C309" i="3"/>
  <c r="D308" i="3"/>
  <c r="C158" i="3"/>
  <c r="D157" i="3"/>
  <c r="C334" i="8" l="1"/>
  <c r="D333" i="8"/>
  <c r="D181" i="8"/>
  <c r="C182" i="8"/>
  <c r="C105" i="3"/>
  <c r="D104" i="3"/>
  <c r="C159" i="3"/>
  <c r="D158" i="3"/>
  <c r="C310" i="3"/>
  <c r="C311" i="3" s="1"/>
  <c r="D309" i="3"/>
  <c r="D310" i="3" s="1"/>
  <c r="D46" i="3"/>
  <c r="C47" i="3"/>
  <c r="D244" i="3"/>
  <c r="C245" i="3"/>
  <c r="C183" i="8" l="1"/>
  <c r="D182" i="8"/>
  <c r="C335" i="8"/>
  <c r="D334" i="8"/>
  <c r="C312" i="3"/>
  <c r="D311" i="3"/>
  <c r="C48" i="3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D47" i="3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C160" i="3"/>
  <c r="D159" i="3"/>
  <c r="D105" i="3"/>
  <c r="C106" i="3"/>
  <c r="C246" i="3"/>
  <c r="D245" i="3"/>
  <c r="D335" i="8" l="1"/>
  <c r="C336" i="8"/>
  <c r="C184" i="8"/>
  <c r="D183" i="8"/>
  <c r="C247" i="3"/>
  <c r="D246" i="3"/>
  <c r="D106" i="3"/>
  <c r="C107" i="3"/>
  <c r="D160" i="3"/>
  <c r="C161" i="3"/>
  <c r="D312" i="3"/>
  <c r="C313" i="3"/>
  <c r="D184" i="8" l="1"/>
  <c r="C185" i="8"/>
  <c r="D336" i="8"/>
  <c r="C337" i="8"/>
  <c r="D337" i="8" s="1"/>
  <c r="D313" i="3"/>
  <c r="C314" i="3"/>
  <c r="C108" i="3"/>
  <c r="D107" i="3"/>
  <c r="C162" i="3"/>
  <c r="C163" i="3" s="1"/>
  <c r="D161" i="3"/>
  <c r="D162" i="3" s="1"/>
  <c r="C248" i="3"/>
  <c r="D247" i="3"/>
  <c r="D185" i="8" l="1"/>
  <c r="C186" i="8"/>
  <c r="D248" i="3"/>
  <c r="C249" i="3"/>
  <c r="C315" i="3"/>
  <c r="D314" i="3"/>
  <c r="C109" i="3"/>
  <c r="D108" i="3"/>
  <c r="C164" i="3"/>
  <c r="D163" i="3"/>
  <c r="C187" i="8" l="1"/>
  <c r="D186" i="8"/>
  <c r="C165" i="3"/>
  <c r="D164" i="3"/>
  <c r="D315" i="3"/>
  <c r="C316" i="3"/>
  <c r="C250" i="3"/>
  <c r="D249" i="3"/>
  <c r="D109" i="3"/>
  <c r="C110" i="3"/>
  <c r="C188" i="8" l="1"/>
  <c r="D187" i="8"/>
  <c r="D110" i="3"/>
  <c r="C111" i="3"/>
  <c r="C317" i="3"/>
  <c r="D316" i="3"/>
  <c r="C251" i="3"/>
  <c r="D250" i="3"/>
  <c r="C166" i="3"/>
  <c r="D165" i="3"/>
  <c r="C189" i="8" l="1"/>
  <c r="D188" i="8"/>
  <c r="C167" i="3"/>
  <c r="D166" i="3"/>
  <c r="D111" i="3"/>
  <c r="C112" i="3"/>
  <c r="D317" i="3"/>
  <c r="C318" i="3"/>
  <c r="C252" i="3"/>
  <c r="D251" i="3"/>
  <c r="D189" i="8" l="1"/>
  <c r="C190" i="8"/>
  <c r="C253" i="3"/>
  <c r="D252" i="3"/>
  <c r="C319" i="3"/>
  <c r="D318" i="3"/>
  <c r="C113" i="3"/>
  <c r="D112" i="3"/>
  <c r="C168" i="3"/>
  <c r="D167" i="3"/>
  <c r="C191" i="8" l="1"/>
  <c r="D190" i="8"/>
  <c r="D168" i="3"/>
  <c r="C169" i="3"/>
  <c r="C320" i="3"/>
  <c r="D319" i="3"/>
  <c r="C114" i="3"/>
  <c r="D113" i="3"/>
  <c r="D253" i="3"/>
  <c r="C254" i="3"/>
  <c r="C192" i="8" l="1"/>
  <c r="D191" i="8"/>
  <c r="C255" i="3"/>
  <c r="D254" i="3"/>
  <c r="C321" i="3"/>
  <c r="D320" i="3"/>
  <c r="C170" i="3"/>
  <c r="D169" i="3"/>
  <c r="D114" i="3"/>
  <c r="C115" i="3"/>
  <c r="D192" i="8" l="1"/>
  <c r="C193" i="8"/>
  <c r="C116" i="3"/>
  <c r="D115" i="3"/>
  <c r="D116" i="3" s="1"/>
  <c r="D321" i="3"/>
  <c r="C322" i="3"/>
  <c r="C171" i="3"/>
  <c r="D170" i="3"/>
  <c r="D255" i="3"/>
  <c r="C256" i="3"/>
  <c r="D193" i="8" l="1"/>
  <c r="C194" i="8"/>
  <c r="D256" i="3"/>
  <c r="C257" i="3"/>
  <c r="C323" i="3"/>
  <c r="D322" i="3"/>
  <c r="D171" i="3"/>
  <c r="C172" i="3"/>
  <c r="C195" i="8" l="1"/>
  <c r="D194" i="8"/>
  <c r="C324" i="3"/>
  <c r="D323" i="3"/>
  <c r="D172" i="3"/>
  <c r="C173" i="3"/>
  <c r="C258" i="3"/>
  <c r="D257" i="3"/>
  <c r="C196" i="8" l="1"/>
  <c r="D195" i="8"/>
  <c r="D324" i="3"/>
  <c r="C325" i="3"/>
  <c r="C174" i="3"/>
  <c r="D173" i="3"/>
  <c r="C259" i="3"/>
  <c r="D258" i="3"/>
  <c r="C197" i="8" l="1"/>
  <c r="D196" i="8"/>
  <c r="D259" i="3"/>
  <c r="C260" i="3"/>
  <c r="C175" i="3"/>
  <c r="D174" i="3"/>
  <c r="D325" i="3"/>
  <c r="C326" i="3"/>
  <c r="D197" i="8" l="1"/>
  <c r="C198" i="8"/>
  <c r="C176" i="3"/>
  <c r="D175" i="3"/>
  <c r="C327" i="3"/>
  <c r="D326" i="3"/>
  <c r="C261" i="3"/>
  <c r="D260" i="3"/>
  <c r="C199" i="8" l="1"/>
  <c r="C200" i="8" s="1"/>
  <c r="C201" i="8" s="1"/>
  <c r="D198" i="8"/>
  <c r="D199" i="8" s="1"/>
  <c r="D200" i="8" s="1"/>
  <c r="D201" i="8" s="1"/>
  <c r="D176" i="3"/>
  <c r="C177" i="3"/>
  <c r="C262" i="3"/>
  <c r="D261" i="3"/>
  <c r="C328" i="3"/>
  <c r="D327" i="3"/>
  <c r="C329" i="3" l="1"/>
  <c r="D328" i="3"/>
  <c r="C263" i="3"/>
  <c r="D263" i="3" s="1"/>
  <c r="D262" i="3"/>
  <c r="C178" i="3"/>
  <c r="D177" i="3"/>
  <c r="D329" i="3" l="1"/>
  <c r="C330" i="3"/>
  <c r="C179" i="3"/>
  <c r="D178" i="3"/>
  <c r="C180" i="3" l="1"/>
  <c r="D179" i="3"/>
  <c r="C331" i="3"/>
  <c r="C332" i="3" s="1"/>
  <c r="D330" i="3"/>
  <c r="D331" i="3" s="1"/>
  <c r="D180" i="3" l="1"/>
  <c r="C181" i="3"/>
  <c r="C333" i="3"/>
  <c r="D332" i="3"/>
  <c r="D333" i="3" l="1"/>
  <c r="C334" i="3"/>
  <c r="C182" i="3"/>
  <c r="D181" i="3"/>
  <c r="C183" i="3" l="1"/>
  <c r="D182" i="3"/>
  <c r="C335" i="3"/>
  <c r="D334" i="3"/>
  <c r="C336" i="3" l="1"/>
  <c r="D335" i="3"/>
  <c r="D183" i="3"/>
  <c r="C184" i="3"/>
  <c r="C185" i="3" l="1"/>
  <c r="D184" i="3"/>
  <c r="C337" i="3"/>
  <c r="D337" i="3" s="1"/>
  <c r="D336" i="3"/>
  <c r="C186" i="3" l="1"/>
  <c r="D185" i="3"/>
  <c r="D186" i="3" l="1"/>
  <c r="C187" i="3"/>
  <c r="C188" i="3" l="1"/>
  <c r="D187" i="3"/>
  <c r="C189" i="3" l="1"/>
  <c r="D188" i="3"/>
  <c r="D189" i="3" l="1"/>
  <c r="C190" i="3"/>
  <c r="C191" i="3" l="1"/>
  <c r="D190" i="3"/>
  <c r="C192" i="3" l="1"/>
  <c r="D191" i="3"/>
  <c r="D192" i="3" l="1"/>
  <c r="C193" i="3"/>
  <c r="C194" i="3" l="1"/>
  <c r="D193" i="3"/>
  <c r="D194" i="3" l="1"/>
  <c r="C195" i="3"/>
  <c r="D195" i="3" l="1"/>
  <c r="C196" i="3"/>
  <c r="C197" i="3" l="1"/>
  <c r="D196" i="3"/>
  <c r="C198" i="3" l="1"/>
  <c r="D197" i="3"/>
  <c r="C199" i="3" l="1"/>
  <c r="C200" i="3" s="1"/>
  <c r="C201" i="3" s="1"/>
  <c r="D198" i="3"/>
  <c r="D199" i="3" s="1"/>
  <c r="D200" i="3" s="1"/>
  <c r="D201" i="3" s="1"/>
  <c r="R110" i="5" l="1"/>
  <c r="O110" i="5"/>
  <c r="L110" i="5"/>
  <c r="I110" i="5"/>
  <c r="F110" i="5"/>
  <c r="R111" i="5"/>
  <c r="O111" i="5"/>
  <c r="L111" i="5"/>
  <c r="I111" i="5"/>
  <c r="F111" i="5"/>
  <c r="R25" i="5"/>
  <c r="O25" i="5"/>
  <c r="L25" i="5"/>
  <c r="I25" i="5"/>
  <c r="F25" i="5"/>
  <c r="AW10" i="4"/>
  <c r="AW9" i="4"/>
  <c r="AW8" i="4"/>
  <c r="AW7" i="4"/>
  <c r="AW6" i="4"/>
  <c r="AW5" i="4"/>
  <c r="AW4" i="4"/>
  <c r="AW10" i="2"/>
  <c r="AW9" i="2"/>
  <c r="AW8" i="2"/>
  <c r="AW7" i="2"/>
  <c r="AW6" i="2"/>
  <c r="AW5" i="2"/>
  <c r="AW4" i="2"/>
  <c r="R110" i="4"/>
  <c r="O110" i="4"/>
  <c r="L110" i="4"/>
  <c r="I110" i="4"/>
  <c r="F110" i="4"/>
  <c r="R25" i="4"/>
  <c r="O25" i="4"/>
  <c r="L25" i="4"/>
  <c r="I25" i="4"/>
  <c r="F25" i="4"/>
  <c r="R110" i="1"/>
  <c r="O110" i="1"/>
  <c r="L110" i="1"/>
  <c r="I110" i="1"/>
  <c r="F110" i="1"/>
  <c r="R25" i="1"/>
  <c r="O25" i="1"/>
  <c r="L25" i="1"/>
  <c r="I25" i="1"/>
  <c r="F25" i="1"/>
  <c r="I27" i="2"/>
  <c r="A174" i="5"/>
  <c r="AE170" i="5"/>
  <c r="AC170" i="5"/>
  <c r="AB170" i="5"/>
  <c r="Z170" i="5"/>
  <c r="Y170" i="5"/>
  <c r="W170" i="5"/>
  <c r="V170" i="5"/>
  <c r="T170" i="5"/>
  <c r="AE161" i="5"/>
  <c r="AC161" i="5"/>
  <c r="AB161" i="5"/>
  <c r="Z161" i="5"/>
  <c r="Y161" i="5"/>
  <c r="W161" i="5"/>
  <c r="V161" i="5"/>
  <c r="T161" i="5"/>
  <c r="S161" i="5"/>
  <c r="Q161" i="5"/>
  <c r="P161" i="5"/>
  <c r="N161" i="5"/>
  <c r="M161" i="5"/>
  <c r="K161" i="5"/>
  <c r="J161" i="5"/>
  <c r="H161" i="5"/>
  <c r="G161" i="5"/>
  <c r="E161" i="5"/>
  <c r="D161" i="5"/>
  <c r="B161" i="5"/>
  <c r="AE160" i="5"/>
  <c r="AC160" i="5"/>
  <c r="AB160" i="5"/>
  <c r="Z160" i="5"/>
  <c r="Y160" i="5"/>
  <c r="W160" i="5"/>
  <c r="V160" i="5"/>
  <c r="T160" i="5"/>
  <c r="S160" i="5"/>
  <c r="Q160" i="5"/>
  <c r="N160" i="5"/>
  <c r="M160" i="5"/>
  <c r="K160" i="5"/>
  <c r="H160" i="5"/>
  <c r="E160" i="5"/>
  <c r="D160" i="5"/>
  <c r="B160" i="5"/>
  <c r="AE159" i="5"/>
  <c r="AC159" i="5"/>
  <c r="AB159" i="5"/>
  <c r="Z159" i="5"/>
  <c r="Y159" i="5"/>
  <c r="W159" i="5"/>
  <c r="V159" i="5"/>
  <c r="T159" i="5"/>
  <c r="S159" i="5"/>
  <c r="Q159" i="5"/>
  <c r="P159" i="5"/>
  <c r="K159" i="5"/>
  <c r="J159" i="5"/>
  <c r="H159" i="5"/>
  <c r="G159" i="5"/>
  <c r="E159" i="5"/>
  <c r="B159" i="5"/>
  <c r="AE158" i="5"/>
  <c r="AC158" i="5"/>
  <c r="AB158" i="5"/>
  <c r="Z158" i="5"/>
  <c r="Y158" i="5"/>
  <c r="W158" i="5"/>
  <c r="V158" i="5"/>
  <c r="T158" i="5"/>
  <c r="Q158" i="5"/>
  <c r="P158" i="5"/>
  <c r="N158" i="5"/>
  <c r="M158" i="5"/>
  <c r="K158" i="5"/>
  <c r="J158" i="5"/>
  <c r="G158" i="5"/>
  <c r="E158" i="5"/>
  <c r="D158" i="5"/>
  <c r="AE157" i="5"/>
  <c r="AC157" i="5"/>
  <c r="AB157" i="5"/>
  <c r="Z157" i="5"/>
  <c r="Y157" i="5"/>
  <c r="W157" i="5"/>
  <c r="V157" i="5"/>
  <c r="T157" i="5"/>
  <c r="S157" i="5"/>
  <c r="P157" i="5"/>
  <c r="N157" i="5"/>
  <c r="M157" i="5"/>
  <c r="J157" i="5"/>
  <c r="H157" i="5"/>
  <c r="G157" i="5"/>
  <c r="D157" i="5"/>
  <c r="B157" i="5"/>
  <c r="AE153" i="5"/>
  <c r="AC153" i="5"/>
  <c r="AB153" i="5"/>
  <c r="Z153" i="5"/>
  <c r="Y153" i="5"/>
  <c r="W153" i="5"/>
  <c r="V153" i="5"/>
  <c r="T153" i="5"/>
  <c r="S153" i="5"/>
  <c r="Q153" i="5"/>
  <c r="P153" i="5"/>
  <c r="N153" i="5"/>
  <c r="M153" i="5"/>
  <c r="K153" i="5"/>
  <c r="J153" i="5"/>
  <c r="H153" i="5"/>
  <c r="G153" i="5"/>
  <c r="E153" i="5"/>
  <c r="D153" i="5"/>
  <c r="B153" i="5"/>
  <c r="AE152" i="5"/>
  <c r="AC152" i="5"/>
  <c r="AB152" i="5"/>
  <c r="Z152" i="5"/>
  <c r="Y152" i="5"/>
  <c r="W152" i="5"/>
  <c r="V152" i="5"/>
  <c r="T152" i="5"/>
  <c r="S152" i="5"/>
  <c r="Q152" i="5"/>
  <c r="N152" i="5"/>
  <c r="M152" i="5"/>
  <c r="K152" i="5"/>
  <c r="H152" i="5"/>
  <c r="E152" i="5"/>
  <c r="D152" i="5"/>
  <c r="B152" i="5"/>
  <c r="AE151" i="5"/>
  <c r="AC151" i="5"/>
  <c r="AB151" i="5"/>
  <c r="Z151" i="5"/>
  <c r="Y151" i="5"/>
  <c r="W151" i="5"/>
  <c r="V151" i="5"/>
  <c r="T151" i="5"/>
  <c r="S151" i="5"/>
  <c r="Q151" i="5"/>
  <c r="P151" i="5"/>
  <c r="K151" i="5"/>
  <c r="J151" i="5"/>
  <c r="H151" i="5"/>
  <c r="G151" i="5"/>
  <c r="E151" i="5"/>
  <c r="B151" i="5"/>
  <c r="AE150" i="5"/>
  <c r="AC150" i="5"/>
  <c r="AB150" i="5"/>
  <c r="Z150" i="5"/>
  <c r="Y150" i="5"/>
  <c r="W150" i="5"/>
  <c r="V150" i="5"/>
  <c r="T150" i="5"/>
  <c r="Q150" i="5"/>
  <c r="P150" i="5"/>
  <c r="N150" i="5"/>
  <c r="M150" i="5"/>
  <c r="K150" i="5"/>
  <c r="J150" i="5"/>
  <c r="G150" i="5"/>
  <c r="E150" i="5"/>
  <c r="D150" i="5"/>
  <c r="AE149" i="5"/>
  <c r="AC149" i="5"/>
  <c r="AB149" i="5"/>
  <c r="Z149" i="5"/>
  <c r="Y149" i="5"/>
  <c r="W149" i="5"/>
  <c r="V149" i="5"/>
  <c r="T149" i="5"/>
  <c r="S149" i="5"/>
  <c r="P149" i="5"/>
  <c r="N149" i="5"/>
  <c r="M149" i="5"/>
  <c r="J149" i="5"/>
  <c r="H149" i="5"/>
  <c r="G149" i="5"/>
  <c r="D149" i="5"/>
  <c r="B149" i="5"/>
  <c r="AE147" i="5"/>
  <c r="AC147" i="5"/>
  <c r="AB147" i="5"/>
  <c r="Z147" i="5"/>
  <c r="Y147" i="5"/>
  <c r="W147" i="5"/>
  <c r="V147" i="5"/>
  <c r="T147" i="5"/>
  <c r="S147" i="5"/>
  <c r="Q147" i="5"/>
  <c r="P147" i="5"/>
  <c r="N147" i="5"/>
  <c r="M147" i="5"/>
  <c r="K147" i="5"/>
  <c r="J147" i="5"/>
  <c r="H147" i="5"/>
  <c r="G147" i="5"/>
  <c r="E147" i="5"/>
  <c r="D147" i="5"/>
  <c r="B147" i="5"/>
  <c r="AE146" i="5"/>
  <c r="AC146" i="5"/>
  <c r="AB146" i="5"/>
  <c r="Z146" i="5"/>
  <c r="Y146" i="5"/>
  <c r="W146" i="5"/>
  <c r="V146" i="5"/>
  <c r="T146" i="5"/>
  <c r="S146" i="5"/>
  <c r="Q146" i="5"/>
  <c r="N146" i="5"/>
  <c r="M146" i="5"/>
  <c r="K146" i="5"/>
  <c r="H146" i="5"/>
  <c r="E146" i="5"/>
  <c r="D146" i="5"/>
  <c r="B146" i="5"/>
  <c r="AE145" i="5"/>
  <c r="AC145" i="5"/>
  <c r="AB145" i="5"/>
  <c r="Z145" i="5"/>
  <c r="Y145" i="5"/>
  <c r="W145" i="5"/>
  <c r="V145" i="5"/>
  <c r="T145" i="5"/>
  <c r="S145" i="5"/>
  <c r="Q145" i="5"/>
  <c r="P145" i="5"/>
  <c r="K145" i="5"/>
  <c r="J145" i="5"/>
  <c r="H145" i="5"/>
  <c r="G145" i="5"/>
  <c r="E145" i="5"/>
  <c r="B145" i="5"/>
  <c r="AE144" i="5"/>
  <c r="AC144" i="5"/>
  <c r="AB144" i="5"/>
  <c r="Z144" i="5"/>
  <c r="Y144" i="5"/>
  <c r="W144" i="5"/>
  <c r="V144" i="5"/>
  <c r="T144" i="5"/>
  <c r="Q144" i="5"/>
  <c r="P144" i="5"/>
  <c r="N144" i="5"/>
  <c r="M144" i="5"/>
  <c r="K144" i="5"/>
  <c r="J144" i="5"/>
  <c r="G144" i="5"/>
  <c r="E144" i="5"/>
  <c r="D144" i="5"/>
  <c r="AE143" i="5"/>
  <c r="AC143" i="5"/>
  <c r="AB143" i="5"/>
  <c r="Z143" i="5"/>
  <c r="Y143" i="5"/>
  <c r="W143" i="5"/>
  <c r="V143" i="5"/>
  <c r="T143" i="5"/>
  <c r="S143" i="5"/>
  <c r="P143" i="5"/>
  <c r="N143" i="5"/>
  <c r="M143" i="5"/>
  <c r="J143" i="5"/>
  <c r="H143" i="5"/>
  <c r="G143" i="5"/>
  <c r="D143" i="5"/>
  <c r="B143" i="5"/>
  <c r="AE141" i="5"/>
  <c r="AC141" i="5"/>
  <c r="AB141" i="5"/>
  <c r="Z141" i="5"/>
  <c r="Y141" i="5"/>
  <c r="W141" i="5"/>
  <c r="V141" i="5"/>
  <c r="T141" i="5"/>
  <c r="S141" i="5"/>
  <c r="Q141" i="5"/>
  <c r="P141" i="5"/>
  <c r="N141" i="5"/>
  <c r="M141" i="5"/>
  <c r="K141" i="5"/>
  <c r="J141" i="5"/>
  <c r="H141" i="5"/>
  <c r="G141" i="5"/>
  <c r="E141" i="5"/>
  <c r="D141" i="5"/>
  <c r="B141" i="5"/>
  <c r="AE140" i="5"/>
  <c r="AC140" i="5"/>
  <c r="AB140" i="5"/>
  <c r="Z140" i="5"/>
  <c r="Y140" i="5"/>
  <c r="W140" i="5"/>
  <c r="V140" i="5"/>
  <c r="T140" i="5"/>
  <c r="S140" i="5"/>
  <c r="Q140" i="5"/>
  <c r="N140" i="5"/>
  <c r="M140" i="5"/>
  <c r="K140" i="5"/>
  <c r="H140" i="5"/>
  <c r="E140" i="5"/>
  <c r="D140" i="5"/>
  <c r="B140" i="5"/>
  <c r="AE139" i="5"/>
  <c r="AC139" i="5"/>
  <c r="AB139" i="5"/>
  <c r="Z139" i="5"/>
  <c r="Y139" i="5"/>
  <c r="W139" i="5"/>
  <c r="V139" i="5"/>
  <c r="T139" i="5"/>
  <c r="S139" i="5"/>
  <c r="Q139" i="5"/>
  <c r="P139" i="5"/>
  <c r="K139" i="5"/>
  <c r="J139" i="5"/>
  <c r="H139" i="5"/>
  <c r="G139" i="5"/>
  <c r="E139" i="5"/>
  <c r="B139" i="5"/>
  <c r="AE138" i="5"/>
  <c r="AC138" i="5"/>
  <c r="AB138" i="5"/>
  <c r="Z138" i="5"/>
  <c r="Y138" i="5"/>
  <c r="W138" i="5"/>
  <c r="V138" i="5"/>
  <c r="T138" i="5"/>
  <c r="Q138" i="5"/>
  <c r="P138" i="5"/>
  <c r="N138" i="5"/>
  <c r="M138" i="5"/>
  <c r="K138" i="5"/>
  <c r="J138" i="5"/>
  <c r="G138" i="5"/>
  <c r="E138" i="5"/>
  <c r="D138" i="5"/>
  <c r="AE137" i="5"/>
  <c r="AC137" i="5"/>
  <c r="AB137" i="5"/>
  <c r="Z137" i="5"/>
  <c r="Y137" i="5"/>
  <c r="W137" i="5"/>
  <c r="V137" i="5"/>
  <c r="T137" i="5"/>
  <c r="S137" i="5"/>
  <c r="P137" i="5"/>
  <c r="N137" i="5"/>
  <c r="M137" i="5"/>
  <c r="J137" i="5"/>
  <c r="H137" i="5"/>
  <c r="G137" i="5"/>
  <c r="D137" i="5"/>
  <c r="B137" i="5"/>
  <c r="AE135" i="5"/>
  <c r="AC135" i="5"/>
  <c r="AB135" i="5"/>
  <c r="Z135" i="5"/>
  <c r="Y135" i="5"/>
  <c r="W135" i="5"/>
  <c r="V135" i="5"/>
  <c r="T135" i="5"/>
  <c r="S135" i="5"/>
  <c r="Q135" i="5"/>
  <c r="P135" i="5"/>
  <c r="N135" i="5"/>
  <c r="M135" i="5"/>
  <c r="K135" i="5"/>
  <c r="J135" i="5"/>
  <c r="H135" i="5"/>
  <c r="G135" i="5"/>
  <c r="E135" i="5"/>
  <c r="D135" i="5"/>
  <c r="B135" i="5"/>
  <c r="AE134" i="5"/>
  <c r="AC134" i="5"/>
  <c r="AB134" i="5"/>
  <c r="Z134" i="5"/>
  <c r="Y134" i="5"/>
  <c r="W134" i="5"/>
  <c r="V134" i="5"/>
  <c r="T134" i="5"/>
  <c r="S134" i="5"/>
  <c r="Q134" i="5"/>
  <c r="N134" i="5"/>
  <c r="M134" i="5"/>
  <c r="K134" i="5"/>
  <c r="H134" i="5"/>
  <c r="E134" i="5"/>
  <c r="D134" i="5"/>
  <c r="B134" i="5"/>
  <c r="AE133" i="5"/>
  <c r="AC133" i="5"/>
  <c r="AB133" i="5"/>
  <c r="Z133" i="5"/>
  <c r="Y133" i="5"/>
  <c r="W133" i="5"/>
  <c r="V133" i="5"/>
  <c r="T133" i="5"/>
  <c r="S133" i="5"/>
  <c r="Q133" i="5"/>
  <c r="P133" i="5"/>
  <c r="K133" i="5"/>
  <c r="J133" i="5"/>
  <c r="H133" i="5"/>
  <c r="G133" i="5"/>
  <c r="E133" i="5"/>
  <c r="B133" i="5"/>
  <c r="AE132" i="5"/>
  <c r="AC132" i="5"/>
  <c r="AB132" i="5"/>
  <c r="Z132" i="5"/>
  <c r="Y132" i="5"/>
  <c r="W132" i="5"/>
  <c r="V132" i="5"/>
  <c r="T132" i="5"/>
  <c r="Q132" i="5"/>
  <c r="P132" i="5"/>
  <c r="N132" i="5"/>
  <c r="M132" i="5"/>
  <c r="K132" i="5"/>
  <c r="J132" i="5"/>
  <c r="G132" i="5"/>
  <c r="E132" i="5"/>
  <c r="D132" i="5"/>
  <c r="AE131" i="5"/>
  <c r="AC131" i="5"/>
  <c r="AB131" i="5"/>
  <c r="Z131" i="5"/>
  <c r="Y131" i="5"/>
  <c r="W131" i="5"/>
  <c r="V131" i="5"/>
  <c r="T131" i="5"/>
  <c r="S131" i="5"/>
  <c r="P131" i="5"/>
  <c r="N131" i="5"/>
  <c r="M131" i="5"/>
  <c r="J131" i="5"/>
  <c r="H131" i="5"/>
  <c r="G131" i="5"/>
  <c r="D131" i="5"/>
  <c r="B131" i="5"/>
  <c r="AE120" i="5"/>
  <c r="AE128" i="5" s="1"/>
  <c r="AC120" i="5"/>
  <c r="AC128" i="5" s="1"/>
  <c r="AB120" i="5"/>
  <c r="AB128" i="5" s="1"/>
  <c r="Z120" i="5"/>
  <c r="Z128" i="5" s="1"/>
  <c r="Y120" i="5"/>
  <c r="Y128" i="5" s="1"/>
  <c r="W120" i="5"/>
  <c r="W128" i="5" s="1"/>
  <c r="V120" i="5"/>
  <c r="V128" i="5" s="1"/>
  <c r="T120" i="5"/>
  <c r="T128" i="5" s="1"/>
  <c r="S120" i="5"/>
  <c r="S128" i="5" s="1"/>
  <c r="Q120" i="5"/>
  <c r="Q128" i="5" s="1"/>
  <c r="P120" i="5"/>
  <c r="P128" i="5" s="1"/>
  <c r="N120" i="5"/>
  <c r="N128" i="5" s="1"/>
  <c r="M120" i="5"/>
  <c r="M128" i="5" s="1"/>
  <c r="K120" i="5"/>
  <c r="K128" i="5" s="1"/>
  <c r="J120" i="5"/>
  <c r="J128" i="5" s="1"/>
  <c r="H120" i="5"/>
  <c r="H128" i="5" s="1"/>
  <c r="G120" i="5"/>
  <c r="G128" i="5" s="1"/>
  <c r="E120" i="5"/>
  <c r="E128" i="5" s="1"/>
  <c r="D120" i="5"/>
  <c r="D128" i="5" s="1"/>
  <c r="B120" i="5"/>
  <c r="B128" i="5" s="1"/>
  <c r="AE119" i="5"/>
  <c r="AE127" i="5" s="1"/>
  <c r="AC119" i="5"/>
  <c r="AC127" i="5" s="1"/>
  <c r="AB119" i="5"/>
  <c r="AB127" i="5" s="1"/>
  <c r="Z119" i="5"/>
  <c r="Z127" i="5" s="1"/>
  <c r="Y119" i="5"/>
  <c r="Y127" i="5" s="1"/>
  <c r="W119" i="5"/>
  <c r="W127" i="5" s="1"/>
  <c r="V119" i="5"/>
  <c r="V127" i="5" s="1"/>
  <c r="T119" i="5"/>
  <c r="T127" i="5" s="1"/>
  <c r="S119" i="5"/>
  <c r="S127" i="5" s="1"/>
  <c r="Q119" i="5"/>
  <c r="Q127" i="5" s="1"/>
  <c r="P119" i="5"/>
  <c r="P127" i="5" s="1"/>
  <c r="N119" i="5"/>
  <c r="N127" i="5" s="1"/>
  <c r="M119" i="5"/>
  <c r="M127" i="5" s="1"/>
  <c r="K119" i="5"/>
  <c r="K127" i="5" s="1"/>
  <c r="J119" i="5"/>
  <c r="J127" i="5" s="1"/>
  <c r="H119" i="5"/>
  <c r="H127" i="5" s="1"/>
  <c r="G119" i="5"/>
  <c r="G127" i="5" s="1"/>
  <c r="E119" i="5"/>
  <c r="E127" i="5" s="1"/>
  <c r="D119" i="5"/>
  <c r="D127" i="5" s="1"/>
  <c r="B119" i="5"/>
  <c r="B127" i="5" s="1"/>
  <c r="AE118" i="5"/>
  <c r="AE126" i="5" s="1"/>
  <c r="AC118" i="5"/>
  <c r="AC126" i="5" s="1"/>
  <c r="AB118" i="5"/>
  <c r="AB126" i="5" s="1"/>
  <c r="Z118" i="5"/>
  <c r="Z126" i="5" s="1"/>
  <c r="Y118" i="5"/>
  <c r="Y126" i="5" s="1"/>
  <c r="W118" i="5"/>
  <c r="W126" i="5" s="1"/>
  <c r="V118" i="5"/>
  <c r="V126" i="5" s="1"/>
  <c r="T118" i="5"/>
  <c r="T126" i="5" s="1"/>
  <c r="S118" i="5"/>
  <c r="S126" i="5" s="1"/>
  <c r="Q118" i="5"/>
  <c r="Q126" i="5" s="1"/>
  <c r="P118" i="5"/>
  <c r="P126" i="5" s="1"/>
  <c r="N118" i="5"/>
  <c r="N126" i="5" s="1"/>
  <c r="M118" i="5"/>
  <c r="M126" i="5" s="1"/>
  <c r="K118" i="5"/>
  <c r="K126" i="5" s="1"/>
  <c r="J118" i="5"/>
  <c r="J126" i="5" s="1"/>
  <c r="H118" i="5"/>
  <c r="H126" i="5" s="1"/>
  <c r="G118" i="5"/>
  <c r="G126" i="5" s="1"/>
  <c r="E118" i="5"/>
  <c r="E126" i="5" s="1"/>
  <c r="D118" i="5"/>
  <c r="D126" i="5" s="1"/>
  <c r="B118" i="5"/>
  <c r="B126" i="5" s="1"/>
  <c r="AE117" i="5"/>
  <c r="AE125" i="5" s="1"/>
  <c r="AC117" i="5"/>
  <c r="AC125" i="5" s="1"/>
  <c r="AB117" i="5"/>
  <c r="AB125" i="5" s="1"/>
  <c r="Z117" i="5"/>
  <c r="Z125" i="5" s="1"/>
  <c r="Y117" i="5"/>
  <c r="Y125" i="5" s="1"/>
  <c r="W117" i="5"/>
  <c r="W125" i="5" s="1"/>
  <c r="V117" i="5"/>
  <c r="V125" i="5" s="1"/>
  <c r="T117" i="5"/>
  <c r="T125" i="5" s="1"/>
  <c r="S117" i="5"/>
  <c r="S125" i="5" s="1"/>
  <c r="Q117" i="5"/>
  <c r="Q125" i="5" s="1"/>
  <c r="P117" i="5"/>
  <c r="P125" i="5" s="1"/>
  <c r="N117" i="5"/>
  <c r="N125" i="5" s="1"/>
  <c r="M117" i="5"/>
  <c r="M125" i="5" s="1"/>
  <c r="K117" i="5"/>
  <c r="K125" i="5" s="1"/>
  <c r="J117" i="5"/>
  <c r="J125" i="5" s="1"/>
  <c r="H117" i="5"/>
  <c r="H125" i="5" s="1"/>
  <c r="G117" i="5"/>
  <c r="G125" i="5" s="1"/>
  <c r="E117" i="5"/>
  <c r="E125" i="5" s="1"/>
  <c r="D117" i="5"/>
  <c r="D125" i="5" s="1"/>
  <c r="B117" i="5"/>
  <c r="B125" i="5" s="1"/>
  <c r="AE116" i="5"/>
  <c r="AE124" i="5" s="1"/>
  <c r="AC116" i="5"/>
  <c r="AC124" i="5" s="1"/>
  <c r="AB116" i="5"/>
  <c r="AB124" i="5" s="1"/>
  <c r="Z116" i="5"/>
  <c r="Z121" i="5" s="1"/>
  <c r="Y116" i="5"/>
  <c r="Y121" i="5" s="1"/>
  <c r="W116" i="5"/>
  <c r="W124" i="5" s="1"/>
  <c r="V116" i="5"/>
  <c r="V124" i="5" s="1"/>
  <c r="T116" i="5"/>
  <c r="T121" i="5" s="1"/>
  <c r="S116" i="5"/>
  <c r="S150" i="5" s="1"/>
  <c r="Q116" i="5"/>
  <c r="P116" i="5"/>
  <c r="P152" i="5" s="1"/>
  <c r="N116" i="5"/>
  <c r="N151" i="5" s="1"/>
  <c r="M116" i="5"/>
  <c r="M124" i="5" s="1"/>
  <c r="K116" i="5"/>
  <c r="J116" i="5"/>
  <c r="H116" i="5"/>
  <c r="H150" i="5" s="1"/>
  <c r="G116" i="5"/>
  <c r="G124" i="5" s="1"/>
  <c r="E116" i="5"/>
  <c r="D116" i="5"/>
  <c r="B116" i="5"/>
  <c r="B150" i="5" s="1"/>
  <c r="AE115" i="5"/>
  <c r="AC115" i="5"/>
  <c r="AB115" i="5"/>
  <c r="Z115" i="5"/>
  <c r="Y115" i="5"/>
  <c r="W115" i="5"/>
  <c r="V115" i="5"/>
  <c r="T115" i="5"/>
  <c r="S115" i="5"/>
  <c r="Q115" i="5"/>
  <c r="AL109" i="5" s="1"/>
  <c r="P115" i="5"/>
  <c r="N115" i="5"/>
  <c r="M115" i="5"/>
  <c r="K115" i="5"/>
  <c r="J115" i="5"/>
  <c r="H115" i="5"/>
  <c r="G115" i="5"/>
  <c r="E115" i="5"/>
  <c r="D115" i="5"/>
  <c r="B115" i="5"/>
  <c r="AD114" i="5"/>
  <c r="AA114" i="5"/>
  <c r="X114" i="5"/>
  <c r="U114" i="5"/>
  <c r="R114" i="5"/>
  <c r="O114" i="5"/>
  <c r="L114" i="5"/>
  <c r="I114" i="5"/>
  <c r="F114" i="5"/>
  <c r="A114" i="5"/>
  <c r="AP113" i="5"/>
  <c r="AO113" i="5"/>
  <c r="AN113" i="5"/>
  <c r="AM113" i="5"/>
  <c r="AL113" i="5"/>
  <c r="AK113" i="5"/>
  <c r="AJ113" i="5"/>
  <c r="AI113" i="5"/>
  <c r="AH113" i="5"/>
  <c r="AG113" i="5"/>
  <c r="AF113" i="5"/>
  <c r="AD113" i="5"/>
  <c r="AA113" i="5"/>
  <c r="X113" i="5"/>
  <c r="U113" i="5"/>
  <c r="R113" i="5"/>
  <c r="O113" i="5"/>
  <c r="L113" i="5"/>
  <c r="I113" i="5"/>
  <c r="F113" i="5"/>
  <c r="A113" i="5"/>
  <c r="AP112" i="5"/>
  <c r="AO112" i="5"/>
  <c r="AN112" i="5"/>
  <c r="AM112" i="5"/>
  <c r="AL112" i="5"/>
  <c r="AJ112" i="5"/>
  <c r="AG112" i="5"/>
  <c r="AF112" i="5"/>
  <c r="AD112" i="5"/>
  <c r="AA112" i="5"/>
  <c r="X112" i="5"/>
  <c r="U112" i="5"/>
  <c r="R112" i="5"/>
  <c r="O112" i="5"/>
  <c r="L112" i="5"/>
  <c r="I112" i="5"/>
  <c r="F112" i="5"/>
  <c r="A112" i="5"/>
  <c r="AP111" i="5"/>
  <c r="AO111" i="5"/>
  <c r="AN111" i="5"/>
  <c r="AM111" i="5"/>
  <c r="AL111" i="5"/>
  <c r="AI111" i="5"/>
  <c r="AH111" i="5"/>
  <c r="AF111" i="5"/>
  <c r="AD111" i="5"/>
  <c r="AA111" i="5"/>
  <c r="X111" i="5"/>
  <c r="U111" i="5"/>
  <c r="A111" i="5"/>
  <c r="AP110" i="5"/>
  <c r="AO110" i="5"/>
  <c r="AN110" i="5"/>
  <c r="AM110" i="5"/>
  <c r="AK110" i="5"/>
  <c r="AJ110" i="5"/>
  <c r="AH110" i="5"/>
  <c r="AF110" i="5"/>
  <c r="AD110" i="5"/>
  <c r="AA110" i="5"/>
  <c r="X110" i="5"/>
  <c r="U110" i="5"/>
  <c r="AP109" i="5"/>
  <c r="AO109" i="5"/>
  <c r="AN109" i="5"/>
  <c r="AM109" i="5"/>
  <c r="AK109" i="5"/>
  <c r="AI109" i="5"/>
  <c r="AG109" i="5"/>
  <c r="AF109" i="5"/>
  <c r="AD109" i="5"/>
  <c r="AA109" i="5"/>
  <c r="X109" i="5"/>
  <c r="U109" i="5"/>
  <c r="R109" i="5"/>
  <c r="O109" i="5"/>
  <c r="L109" i="5"/>
  <c r="I109" i="5"/>
  <c r="F109" i="5"/>
  <c r="AC107" i="5"/>
  <c r="Z107" i="5"/>
  <c r="W107" i="5"/>
  <c r="T107" i="5"/>
  <c r="Q107" i="5"/>
  <c r="N107" i="5"/>
  <c r="K107" i="5"/>
  <c r="H107" i="5"/>
  <c r="E107" i="5"/>
  <c r="E102" i="5"/>
  <c r="E101" i="5"/>
  <c r="B168" i="5" s="1"/>
  <c r="A101" i="5"/>
  <c r="E100" i="5"/>
  <c r="E99" i="5"/>
  <c r="B167" i="5" s="1"/>
  <c r="A99" i="5"/>
  <c r="E98" i="5"/>
  <c r="E97" i="5"/>
  <c r="B166" i="5" s="1"/>
  <c r="A97" i="5"/>
  <c r="E96" i="5"/>
  <c r="E95" i="5"/>
  <c r="B165" i="5" s="1"/>
  <c r="A95" i="5"/>
  <c r="E94" i="5"/>
  <c r="E93" i="5"/>
  <c r="B164" i="5" s="1"/>
  <c r="AT164" i="5" s="1"/>
  <c r="A93" i="5"/>
  <c r="R92" i="5"/>
  <c r="L92" i="5"/>
  <c r="K91" i="5"/>
  <c r="A89" i="5"/>
  <c r="AE85" i="5"/>
  <c r="AC85" i="5"/>
  <c r="AB85" i="5"/>
  <c r="Z85" i="5"/>
  <c r="Y85" i="5"/>
  <c r="W85" i="5"/>
  <c r="V85" i="5"/>
  <c r="T85" i="5"/>
  <c r="AE76" i="5"/>
  <c r="AC76" i="5"/>
  <c r="AB76" i="5"/>
  <c r="Z76" i="5"/>
  <c r="Y76" i="5"/>
  <c r="W76" i="5"/>
  <c r="V76" i="5"/>
  <c r="T76" i="5"/>
  <c r="S76" i="5"/>
  <c r="Q76" i="5"/>
  <c r="P76" i="5"/>
  <c r="N76" i="5"/>
  <c r="M76" i="5"/>
  <c r="K76" i="5"/>
  <c r="J76" i="5"/>
  <c r="H76" i="5"/>
  <c r="G76" i="5"/>
  <c r="E76" i="5"/>
  <c r="D76" i="5"/>
  <c r="B76" i="5"/>
  <c r="AE75" i="5"/>
  <c r="AC75" i="5"/>
  <c r="AB75" i="5"/>
  <c r="Z75" i="5"/>
  <c r="Y75" i="5"/>
  <c r="W75" i="5"/>
  <c r="V75" i="5"/>
  <c r="T75" i="5"/>
  <c r="S75" i="5"/>
  <c r="Q75" i="5"/>
  <c r="N75" i="5"/>
  <c r="M75" i="5"/>
  <c r="K75" i="5"/>
  <c r="H75" i="5"/>
  <c r="E75" i="5"/>
  <c r="D75" i="5"/>
  <c r="B75" i="5"/>
  <c r="AE74" i="5"/>
  <c r="AC74" i="5"/>
  <c r="AB74" i="5"/>
  <c r="Z74" i="5"/>
  <c r="Y74" i="5"/>
  <c r="W74" i="5"/>
  <c r="V74" i="5"/>
  <c r="T74" i="5"/>
  <c r="S74" i="5"/>
  <c r="Q74" i="5"/>
  <c r="P74" i="5"/>
  <c r="K74" i="5"/>
  <c r="J74" i="5"/>
  <c r="H74" i="5"/>
  <c r="G74" i="5"/>
  <c r="E74" i="5"/>
  <c r="B74" i="5"/>
  <c r="AE73" i="5"/>
  <c r="AC73" i="5"/>
  <c r="AB73" i="5"/>
  <c r="Z73" i="5"/>
  <c r="Y73" i="5"/>
  <c r="W73" i="5"/>
  <c r="V73" i="5"/>
  <c r="T73" i="5"/>
  <c r="Q73" i="5"/>
  <c r="P73" i="5"/>
  <c r="N73" i="5"/>
  <c r="M73" i="5"/>
  <c r="K73" i="5"/>
  <c r="J73" i="5"/>
  <c r="G73" i="5"/>
  <c r="E73" i="5"/>
  <c r="D73" i="5"/>
  <c r="AE72" i="5"/>
  <c r="AC72" i="5"/>
  <c r="AB72" i="5"/>
  <c r="Z72" i="5"/>
  <c r="Y72" i="5"/>
  <c r="W72" i="5"/>
  <c r="V72" i="5"/>
  <c r="T72" i="5"/>
  <c r="S72" i="5"/>
  <c r="P72" i="5"/>
  <c r="N72" i="5"/>
  <c r="M72" i="5"/>
  <c r="J72" i="5"/>
  <c r="H72" i="5"/>
  <c r="G72" i="5"/>
  <c r="D72" i="5"/>
  <c r="B72" i="5"/>
  <c r="AE68" i="5"/>
  <c r="AC68" i="5"/>
  <c r="AB68" i="5"/>
  <c r="Z68" i="5"/>
  <c r="Y68" i="5"/>
  <c r="W68" i="5"/>
  <c r="V68" i="5"/>
  <c r="T68" i="5"/>
  <c r="S68" i="5"/>
  <c r="Q68" i="5"/>
  <c r="P68" i="5"/>
  <c r="N68" i="5"/>
  <c r="M68" i="5"/>
  <c r="K68" i="5"/>
  <c r="J68" i="5"/>
  <c r="H68" i="5"/>
  <c r="G68" i="5"/>
  <c r="E68" i="5"/>
  <c r="D68" i="5"/>
  <c r="B68" i="5"/>
  <c r="AE67" i="5"/>
  <c r="AC67" i="5"/>
  <c r="AB67" i="5"/>
  <c r="Z67" i="5"/>
  <c r="Y67" i="5"/>
  <c r="W67" i="5"/>
  <c r="V67" i="5"/>
  <c r="T67" i="5"/>
  <c r="S67" i="5"/>
  <c r="Q67" i="5"/>
  <c r="N67" i="5"/>
  <c r="M67" i="5"/>
  <c r="K67" i="5"/>
  <c r="H67" i="5"/>
  <c r="E67" i="5"/>
  <c r="D67" i="5"/>
  <c r="B67" i="5"/>
  <c r="AE66" i="5"/>
  <c r="AC66" i="5"/>
  <c r="AB66" i="5"/>
  <c r="Z66" i="5"/>
  <c r="Y66" i="5"/>
  <c r="W66" i="5"/>
  <c r="V66" i="5"/>
  <c r="T66" i="5"/>
  <c r="S66" i="5"/>
  <c r="Q66" i="5"/>
  <c r="P66" i="5"/>
  <c r="K66" i="5"/>
  <c r="J66" i="5"/>
  <c r="H66" i="5"/>
  <c r="G66" i="5"/>
  <c r="E66" i="5"/>
  <c r="B66" i="5"/>
  <c r="AE65" i="5"/>
  <c r="AC65" i="5"/>
  <c r="AB65" i="5"/>
  <c r="Z65" i="5"/>
  <c r="Y65" i="5"/>
  <c r="W65" i="5"/>
  <c r="V65" i="5"/>
  <c r="T65" i="5"/>
  <c r="Q65" i="5"/>
  <c r="P65" i="5"/>
  <c r="N65" i="5"/>
  <c r="M65" i="5"/>
  <c r="K65" i="5"/>
  <c r="J65" i="5"/>
  <c r="G65" i="5"/>
  <c r="E65" i="5"/>
  <c r="D65" i="5"/>
  <c r="AE64" i="5"/>
  <c r="AC64" i="5"/>
  <c r="AB64" i="5"/>
  <c r="Z64" i="5"/>
  <c r="Y64" i="5"/>
  <c r="W64" i="5"/>
  <c r="V64" i="5"/>
  <c r="T64" i="5"/>
  <c r="S64" i="5"/>
  <c r="P64" i="5"/>
  <c r="N64" i="5"/>
  <c r="M64" i="5"/>
  <c r="J64" i="5"/>
  <c r="H64" i="5"/>
  <c r="G64" i="5"/>
  <c r="D64" i="5"/>
  <c r="B64" i="5"/>
  <c r="AE62" i="5"/>
  <c r="AC62" i="5"/>
  <c r="AB62" i="5"/>
  <c r="Z62" i="5"/>
  <c r="Y62" i="5"/>
  <c r="W62" i="5"/>
  <c r="V62" i="5"/>
  <c r="T62" i="5"/>
  <c r="S62" i="5"/>
  <c r="Q62" i="5"/>
  <c r="P62" i="5"/>
  <c r="N62" i="5"/>
  <c r="M62" i="5"/>
  <c r="K62" i="5"/>
  <c r="J62" i="5"/>
  <c r="H62" i="5"/>
  <c r="G62" i="5"/>
  <c r="E62" i="5"/>
  <c r="D62" i="5"/>
  <c r="B62" i="5"/>
  <c r="AE61" i="5"/>
  <c r="AC61" i="5"/>
  <c r="AB61" i="5"/>
  <c r="Z61" i="5"/>
  <c r="Y61" i="5"/>
  <c r="W61" i="5"/>
  <c r="V61" i="5"/>
  <c r="T61" i="5"/>
  <c r="S61" i="5"/>
  <c r="Q61" i="5"/>
  <c r="N61" i="5"/>
  <c r="M61" i="5"/>
  <c r="K61" i="5"/>
  <c r="H61" i="5"/>
  <c r="E61" i="5"/>
  <c r="D61" i="5"/>
  <c r="B61" i="5"/>
  <c r="AE60" i="5"/>
  <c r="AC60" i="5"/>
  <c r="AB60" i="5"/>
  <c r="Z60" i="5"/>
  <c r="Y60" i="5"/>
  <c r="W60" i="5"/>
  <c r="V60" i="5"/>
  <c r="T60" i="5"/>
  <c r="S60" i="5"/>
  <c r="Q60" i="5"/>
  <c r="P60" i="5"/>
  <c r="K60" i="5"/>
  <c r="J60" i="5"/>
  <c r="H60" i="5"/>
  <c r="G60" i="5"/>
  <c r="E60" i="5"/>
  <c r="B60" i="5"/>
  <c r="AE59" i="5"/>
  <c r="AC59" i="5"/>
  <c r="AB59" i="5"/>
  <c r="Z59" i="5"/>
  <c r="Y59" i="5"/>
  <c r="W59" i="5"/>
  <c r="V59" i="5"/>
  <c r="T59" i="5"/>
  <c r="Q59" i="5"/>
  <c r="P59" i="5"/>
  <c r="N59" i="5"/>
  <c r="M59" i="5"/>
  <c r="K59" i="5"/>
  <c r="J59" i="5"/>
  <c r="G59" i="5"/>
  <c r="E59" i="5"/>
  <c r="D59" i="5"/>
  <c r="AE58" i="5"/>
  <c r="AC58" i="5"/>
  <c r="AB58" i="5"/>
  <c r="Z58" i="5"/>
  <c r="Y58" i="5"/>
  <c r="W58" i="5"/>
  <c r="V58" i="5"/>
  <c r="T58" i="5"/>
  <c r="S58" i="5"/>
  <c r="P58" i="5"/>
  <c r="N58" i="5"/>
  <c r="M58" i="5"/>
  <c r="J58" i="5"/>
  <c r="H58" i="5"/>
  <c r="G58" i="5"/>
  <c r="D58" i="5"/>
  <c r="B58" i="5"/>
  <c r="AE56" i="5"/>
  <c r="AC56" i="5"/>
  <c r="AB56" i="5"/>
  <c r="Z56" i="5"/>
  <c r="Y56" i="5"/>
  <c r="W56" i="5"/>
  <c r="V56" i="5"/>
  <c r="T56" i="5"/>
  <c r="S56" i="5"/>
  <c r="Q56" i="5"/>
  <c r="P56" i="5"/>
  <c r="N56" i="5"/>
  <c r="M56" i="5"/>
  <c r="K56" i="5"/>
  <c r="J56" i="5"/>
  <c r="H56" i="5"/>
  <c r="G56" i="5"/>
  <c r="E56" i="5"/>
  <c r="D56" i="5"/>
  <c r="B56" i="5"/>
  <c r="AE55" i="5"/>
  <c r="AC55" i="5"/>
  <c r="AB55" i="5"/>
  <c r="Z55" i="5"/>
  <c r="Y55" i="5"/>
  <c r="W55" i="5"/>
  <c r="V55" i="5"/>
  <c r="T55" i="5"/>
  <c r="S55" i="5"/>
  <c r="Q55" i="5"/>
  <c r="N55" i="5"/>
  <c r="M55" i="5"/>
  <c r="K55" i="5"/>
  <c r="H55" i="5"/>
  <c r="E55" i="5"/>
  <c r="D55" i="5"/>
  <c r="B55" i="5"/>
  <c r="AE54" i="5"/>
  <c r="AC54" i="5"/>
  <c r="AB54" i="5"/>
  <c r="Z54" i="5"/>
  <c r="Y54" i="5"/>
  <c r="W54" i="5"/>
  <c r="V54" i="5"/>
  <c r="T54" i="5"/>
  <c r="S54" i="5"/>
  <c r="Q54" i="5"/>
  <c r="P54" i="5"/>
  <c r="K54" i="5"/>
  <c r="J54" i="5"/>
  <c r="H54" i="5"/>
  <c r="G54" i="5"/>
  <c r="E54" i="5"/>
  <c r="B54" i="5"/>
  <c r="AE53" i="5"/>
  <c r="AC53" i="5"/>
  <c r="AB53" i="5"/>
  <c r="Z53" i="5"/>
  <c r="Y53" i="5"/>
  <c r="W53" i="5"/>
  <c r="V53" i="5"/>
  <c r="T53" i="5"/>
  <c r="Q53" i="5"/>
  <c r="P53" i="5"/>
  <c r="N53" i="5"/>
  <c r="M53" i="5"/>
  <c r="K53" i="5"/>
  <c r="J53" i="5"/>
  <c r="G53" i="5"/>
  <c r="E53" i="5"/>
  <c r="D53" i="5"/>
  <c r="AE52" i="5"/>
  <c r="AC52" i="5"/>
  <c r="AB52" i="5"/>
  <c r="Z52" i="5"/>
  <c r="Y52" i="5"/>
  <c r="W52" i="5"/>
  <c r="V52" i="5"/>
  <c r="T52" i="5"/>
  <c r="S52" i="5"/>
  <c r="P52" i="5"/>
  <c r="N52" i="5"/>
  <c r="M52" i="5"/>
  <c r="J52" i="5"/>
  <c r="H52" i="5"/>
  <c r="G52" i="5"/>
  <c r="D52" i="5"/>
  <c r="B52" i="5"/>
  <c r="AE50" i="5"/>
  <c r="AC50" i="5"/>
  <c r="AB50" i="5"/>
  <c r="Z50" i="5"/>
  <c r="Y50" i="5"/>
  <c r="W50" i="5"/>
  <c r="V50" i="5"/>
  <c r="T50" i="5"/>
  <c r="S50" i="5"/>
  <c r="Q50" i="5"/>
  <c r="P50" i="5"/>
  <c r="N50" i="5"/>
  <c r="M50" i="5"/>
  <c r="K50" i="5"/>
  <c r="J50" i="5"/>
  <c r="H50" i="5"/>
  <c r="G50" i="5"/>
  <c r="E50" i="5"/>
  <c r="D50" i="5"/>
  <c r="B50" i="5"/>
  <c r="AE49" i="5"/>
  <c r="AC49" i="5"/>
  <c r="AB49" i="5"/>
  <c r="Z49" i="5"/>
  <c r="Y49" i="5"/>
  <c r="W49" i="5"/>
  <c r="V49" i="5"/>
  <c r="T49" i="5"/>
  <c r="S49" i="5"/>
  <c r="Q49" i="5"/>
  <c r="N49" i="5"/>
  <c r="M49" i="5"/>
  <c r="K49" i="5"/>
  <c r="H49" i="5"/>
  <c r="E49" i="5"/>
  <c r="D49" i="5"/>
  <c r="B49" i="5"/>
  <c r="AE48" i="5"/>
  <c r="AC48" i="5"/>
  <c r="AB48" i="5"/>
  <c r="Z48" i="5"/>
  <c r="Y48" i="5"/>
  <c r="W48" i="5"/>
  <c r="V48" i="5"/>
  <c r="T48" i="5"/>
  <c r="S48" i="5"/>
  <c r="Q48" i="5"/>
  <c r="P48" i="5"/>
  <c r="K48" i="5"/>
  <c r="J48" i="5"/>
  <c r="H48" i="5"/>
  <c r="G48" i="5"/>
  <c r="E48" i="5"/>
  <c r="B48" i="5"/>
  <c r="AE47" i="5"/>
  <c r="AC47" i="5"/>
  <c r="AB47" i="5"/>
  <c r="Z47" i="5"/>
  <c r="Y47" i="5"/>
  <c r="W47" i="5"/>
  <c r="V47" i="5"/>
  <c r="T47" i="5"/>
  <c r="Q47" i="5"/>
  <c r="P47" i="5"/>
  <c r="N47" i="5"/>
  <c r="M47" i="5"/>
  <c r="K47" i="5"/>
  <c r="J47" i="5"/>
  <c r="G47" i="5"/>
  <c r="E47" i="5"/>
  <c r="D47" i="5"/>
  <c r="AE46" i="5"/>
  <c r="AC46" i="5"/>
  <c r="AB46" i="5"/>
  <c r="Z46" i="5"/>
  <c r="Y46" i="5"/>
  <c r="W46" i="5"/>
  <c r="V46" i="5"/>
  <c r="T46" i="5"/>
  <c r="S46" i="5"/>
  <c r="P46" i="5"/>
  <c r="N46" i="5"/>
  <c r="M46" i="5"/>
  <c r="J46" i="5"/>
  <c r="H46" i="5"/>
  <c r="G46" i="5"/>
  <c r="D46" i="5"/>
  <c r="B46" i="5"/>
  <c r="D43" i="5"/>
  <c r="V41" i="5"/>
  <c r="V40" i="5"/>
  <c r="AE35" i="5"/>
  <c r="AE43" i="5" s="1"/>
  <c r="AC35" i="5"/>
  <c r="AC43" i="5" s="1"/>
  <c r="AB35" i="5"/>
  <c r="AB43" i="5" s="1"/>
  <c r="Z35" i="5"/>
  <c r="Z43" i="5" s="1"/>
  <c r="Y35" i="5"/>
  <c r="Y43" i="5" s="1"/>
  <c r="W35" i="5"/>
  <c r="W43" i="5" s="1"/>
  <c r="V35" i="5"/>
  <c r="V43" i="5" s="1"/>
  <c r="T35" i="5"/>
  <c r="T43" i="5" s="1"/>
  <c r="S35" i="5"/>
  <c r="S43" i="5" s="1"/>
  <c r="Q35" i="5"/>
  <c r="Q43" i="5" s="1"/>
  <c r="P35" i="5"/>
  <c r="P43" i="5" s="1"/>
  <c r="N35" i="5"/>
  <c r="N43" i="5" s="1"/>
  <c r="M35" i="5"/>
  <c r="M43" i="5" s="1"/>
  <c r="K35" i="5"/>
  <c r="K43" i="5" s="1"/>
  <c r="J35" i="5"/>
  <c r="J43" i="5" s="1"/>
  <c r="H35" i="5"/>
  <c r="H43" i="5" s="1"/>
  <c r="G35" i="5"/>
  <c r="G43" i="5" s="1"/>
  <c r="E35" i="5"/>
  <c r="E43" i="5" s="1"/>
  <c r="D35" i="5"/>
  <c r="B35" i="5"/>
  <c r="B43" i="5" s="1"/>
  <c r="AE34" i="5"/>
  <c r="AE42" i="5" s="1"/>
  <c r="AC34" i="5"/>
  <c r="AC42" i="5" s="1"/>
  <c r="AB34" i="5"/>
  <c r="AB42" i="5" s="1"/>
  <c r="Z34" i="5"/>
  <c r="Z42" i="5" s="1"/>
  <c r="Y34" i="5"/>
  <c r="Y42" i="5" s="1"/>
  <c r="W34" i="5"/>
  <c r="W42" i="5" s="1"/>
  <c r="V34" i="5"/>
  <c r="V42" i="5" s="1"/>
  <c r="T34" i="5"/>
  <c r="T42" i="5" s="1"/>
  <c r="S34" i="5"/>
  <c r="S42" i="5" s="1"/>
  <c r="Q34" i="5"/>
  <c r="Q42" i="5" s="1"/>
  <c r="P34" i="5"/>
  <c r="P42" i="5" s="1"/>
  <c r="N34" i="5"/>
  <c r="N42" i="5" s="1"/>
  <c r="M34" i="5"/>
  <c r="M42" i="5" s="1"/>
  <c r="K34" i="5"/>
  <c r="K42" i="5" s="1"/>
  <c r="J34" i="5"/>
  <c r="J42" i="5" s="1"/>
  <c r="H34" i="5"/>
  <c r="H42" i="5" s="1"/>
  <c r="G34" i="5"/>
  <c r="G42" i="5" s="1"/>
  <c r="E34" i="5"/>
  <c r="E42" i="5" s="1"/>
  <c r="D34" i="5"/>
  <c r="D42" i="5" s="1"/>
  <c r="B34" i="5"/>
  <c r="B42" i="5" s="1"/>
  <c r="AE33" i="5"/>
  <c r="AE41" i="5" s="1"/>
  <c r="AC33" i="5"/>
  <c r="AC41" i="5" s="1"/>
  <c r="AB33" i="5"/>
  <c r="AB41" i="5" s="1"/>
  <c r="Z33" i="5"/>
  <c r="Z41" i="5" s="1"/>
  <c r="Y33" i="5"/>
  <c r="Y41" i="5" s="1"/>
  <c r="W33" i="5"/>
  <c r="W41" i="5" s="1"/>
  <c r="V33" i="5"/>
  <c r="T33" i="5"/>
  <c r="T41" i="5" s="1"/>
  <c r="S33" i="5"/>
  <c r="S41" i="5" s="1"/>
  <c r="Q33" i="5"/>
  <c r="Q41" i="5" s="1"/>
  <c r="P33" i="5"/>
  <c r="P41" i="5" s="1"/>
  <c r="N33" i="5"/>
  <c r="N41" i="5" s="1"/>
  <c r="M33" i="5"/>
  <c r="M41" i="5" s="1"/>
  <c r="K33" i="5"/>
  <c r="K41" i="5" s="1"/>
  <c r="J33" i="5"/>
  <c r="J41" i="5" s="1"/>
  <c r="H33" i="5"/>
  <c r="H41" i="5" s="1"/>
  <c r="G33" i="5"/>
  <c r="G41" i="5" s="1"/>
  <c r="E33" i="5"/>
  <c r="E41" i="5" s="1"/>
  <c r="D33" i="5"/>
  <c r="D41" i="5" s="1"/>
  <c r="B33" i="5"/>
  <c r="B41" i="5" s="1"/>
  <c r="AE32" i="5"/>
  <c r="AE40" i="5" s="1"/>
  <c r="AC32" i="5"/>
  <c r="AC40" i="5" s="1"/>
  <c r="AB32" i="5"/>
  <c r="AB40" i="5" s="1"/>
  <c r="Z32" i="5"/>
  <c r="Z40" i="5" s="1"/>
  <c r="Y32" i="5"/>
  <c r="Y40" i="5" s="1"/>
  <c r="W32" i="5"/>
  <c r="W40" i="5" s="1"/>
  <c r="V32" i="5"/>
  <c r="T32" i="5"/>
  <c r="T40" i="5" s="1"/>
  <c r="S32" i="5"/>
  <c r="S40" i="5" s="1"/>
  <c r="Q32" i="5"/>
  <c r="Q40" i="5" s="1"/>
  <c r="P32" i="5"/>
  <c r="P40" i="5" s="1"/>
  <c r="N32" i="5"/>
  <c r="N40" i="5" s="1"/>
  <c r="M32" i="5"/>
  <c r="M40" i="5" s="1"/>
  <c r="K32" i="5"/>
  <c r="K40" i="5" s="1"/>
  <c r="J32" i="5"/>
  <c r="J40" i="5" s="1"/>
  <c r="H32" i="5"/>
  <c r="H40" i="5" s="1"/>
  <c r="G32" i="5"/>
  <c r="G40" i="5" s="1"/>
  <c r="E32" i="5"/>
  <c r="E40" i="5" s="1"/>
  <c r="D32" i="5"/>
  <c r="D40" i="5" s="1"/>
  <c r="B32" i="5"/>
  <c r="B40" i="5" s="1"/>
  <c r="AE31" i="5"/>
  <c r="AC31" i="5"/>
  <c r="AC39" i="5" s="1"/>
  <c r="AB31" i="5"/>
  <c r="AB36" i="5" s="1"/>
  <c r="Z31" i="5"/>
  <c r="Z39" i="5" s="1"/>
  <c r="Y31" i="5"/>
  <c r="Y39" i="5" s="1"/>
  <c r="W31" i="5"/>
  <c r="W39" i="5" s="1"/>
  <c r="V31" i="5"/>
  <c r="V36" i="5" s="1"/>
  <c r="T31" i="5"/>
  <c r="T39" i="5" s="1"/>
  <c r="S31" i="5"/>
  <c r="Q31" i="5"/>
  <c r="Q64" i="5" s="1"/>
  <c r="P31" i="5"/>
  <c r="P39" i="5" s="1"/>
  <c r="N31" i="5"/>
  <c r="N39" i="5" s="1"/>
  <c r="M31" i="5"/>
  <c r="K31" i="5"/>
  <c r="K64" i="5" s="1"/>
  <c r="J31" i="5"/>
  <c r="J36" i="5" s="1"/>
  <c r="H31" i="5"/>
  <c r="G31" i="5"/>
  <c r="E31" i="5"/>
  <c r="D31" i="5"/>
  <c r="D66" i="5" s="1"/>
  <c r="B31" i="5"/>
  <c r="AE30" i="5"/>
  <c r="AC30" i="5"/>
  <c r="AB30" i="5"/>
  <c r="Z30" i="5"/>
  <c r="Y30" i="5"/>
  <c r="W30" i="5"/>
  <c r="V30" i="5"/>
  <c r="T30" i="5"/>
  <c r="S30" i="5"/>
  <c r="Q30" i="5"/>
  <c r="P30" i="5"/>
  <c r="N30" i="5"/>
  <c r="AK26" i="5" s="1"/>
  <c r="M30" i="5"/>
  <c r="K30" i="5"/>
  <c r="J30" i="5"/>
  <c r="H30" i="5"/>
  <c r="G30" i="5"/>
  <c r="E30" i="5"/>
  <c r="D30" i="5"/>
  <c r="AG26" i="5" s="1"/>
  <c r="B30" i="5"/>
  <c r="AD29" i="5"/>
  <c r="AA29" i="5"/>
  <c r="X29" i="5"/>
  <c r="U29" i="5"/>
  <c r="R29" i="5"/>
  <c r="O29" i="5"/>
  <c r="L29" i="5"/>
  <c r="I29" i="5"/>
  <c r="F29" i="5"/>
  <c r="A29" i="5"/>
  <c r="AP28" i="5"/>
  <c r="AO28" i="5"/>
  <c r="AN28" i="5"/>
  <c r="AM28" i="5"/>
  <c r="AL28" i="5"/>
  <c r="AK28" i="5"/>
  <c r="AJ28" i="5"/>
  <c r="AI28" i="5"/>
  <c r="AH28" i="5"/>
  <c r="AG28" i="5"/>
  <c r="AF28" i="5"/>
  <c r="AD28" i="5"/>
  <c r="AA28" i="5"/>
  <c r="X28" i="5"/>
  <c r="U28" i="5"/>
  <c r="R28" i="5"/>
  <c r="O28" i="5"/>
  <c r="L28" i="5"/>
  <c r="I28" i="5"/>
  <c r="F28" i="5"/>
  <c r="A28" i="5"/>
  <c r="AP27" i="5"/>
  <c r="AO27" i="5"/>
  <c r="AN27" i="5"/>
  <c r="AM27" i="5"/>
  <c r="AL27" i="5"/>
  <c r="AJ27" i="5"/>
  <c r="AG27" i="5"/>
  <c r="AF27" i="5"/>
  <c r="AD27" i="5"/>
  <c r="AA27" i="5"/>
  <c r="X27" i="5"/>
  <c r="U27" i="5"/>
  <c r="R27" i="5"/>
  <c r="O27" i="5"/>
  <c r="L27" i="5"/>
  <c r="I27" i="5"/>
  <c r="F27" i="5"/>
  <c r="A27" i="5"/>
  <c r="AP26" i="5"/>
  <c r="AO26" i="5"/>
  <c r="AN26" i="5"/>
  <c r="AM26" i="5"/>
  <c r="AL26" i="5"/>
  <c r="AI26" i="5"/>
  <c r="AH26" i="5"/>
  <c r="AF26" i="5"/>
  <c r="AD26" i="5"/>
  <c r="AA26" i="5"/>
  <c r="X26" i="5"/>
  <c r="U26" i="5"/>
  <c r="R26" i="5"/>
  <c r="O26" i="5"/>
  <c r="L26" i="5"/>
  <c r="I26" i="5"/>
  <c r="F26" i="5"/>
  <c r="A26" i="5"/>
  <c r="AP25" i="5"/>
  <c r="AO25" i="5"/>
  <c r="AN25" i="5"/>
  <c r="AM25" i="5"/>
  <c r="AK25" i="5"/>
  <c r="AJ25" i="5"/>
  <c r="AH25" i="5"/>
  <c r="AF25" i="5"/>
  <c r="AD25" i="5"/>
  <c r="AA25" i="5"/>
  <c r="X25" i="5"/>
  <c r="U25" i="5"/>
  <c r="AP24" i="5"/>
  <c r="AO24" i="5"/>
  <c r="AN24" i="5"/>
  <c r="AM24" i="5"/>
  <c r="AK24" i="5"/>
  <c r="AI24" i="5"/>
  <c r="AG24" i="5"/>
  <c r="AF24" i="5"/>
  <c r="AD24" i="5"/>
  <c r="AA24" i="5"/>
  <c r="X24" i="5"/>
  <c r="U24" i="5"/>
  <c r="R24" i="5"/>
  <c r="O24" i="5"/>
  <c r="L24" i="5"/>
  <c r="I24" i="5"/>
  <c r="F24" i="5"/>
  <c r="AC22" i="5"/>
  <c r="Z22" i="5"/>
  <c r="W22" i="5"/>
  <c r="T22" i="5"/>
  <c r="Q22" i="5"/>
  <c r="N22" i="5"/>
  <c r="K22" i="5"/>
  <c r="H22" i="5"/>
  <c r="E22" i="5"/>
  <c r="E17" i="5"/>
  <c r="E16" i="5"/>
  <c r="B83" i="5" s="1"/>
  <c r="A16" i="5"/>
  <c r="E15" i="5"/>
  <c r="E14" i="5"/>
  <c r="B82" i="5" s="1"/>
  <c r="AT82" i="5" s="1"/>
  <c r="A14" i="5"/>
  <c r="E13" i="5"/>
  <c r="E12" i="5"/>
  <c r="B81" i="5" s="1"/>
  <c r="A12" i="5"/>
  <c r="AW11" i="5"/>
  <c r="E11" i="5"/>
  <c r="E10" i="5"/>
  <c r="B80" i="5" s="1"/>
  <c r="A10" i="5"/>
  <c r="E9" i="5"/>
  <c r="E8" i="5"/>
  <c r="B79" i="5" s="1"/>
  <c r="A8" i="5"/>
  <c r="R7" i="5"/>
  <c r="L7" i="5"/>
  <c r="K6" i="5"/>
  <c r="A174" i="4"/>
  <c r="AE170" i="4"/>
  <c r="AC170" i="4"/>
  <c r="AB170" i="4"/>
  <c r="Z170" i="4"/>
  <c r="Y170" i="4"/>
  <c r="W170" i="4"/>
  <c r="V170" i="4"/>
  <c r="T170" i="4"/>
  <c r="C168" i="4"/>
  <c r="AE161" i="4"/>
  <c r="AC161" i="4"/>
  <c r="AB161" i="4"/>
  <c r="Z161" i="4"/>
  <c r="Y161" i="4"/>
  <c r="W161" i="4"/>
  <c r="V161" i="4"/>
  <c r="T161" i="4"/>
  <c r="S161" i="4"/>
  <c r="Q161" i="4"/>
  <c r="P161" i="4"/>
  <c r="N161" i="4"/>
  <c r="M161" i="4"/>
  <c r="K161" i="4"/>
  <c r="J161" i="4"/>
  <c r="H161" i="4"/>
  <c r="G161" i="4"/>
  <c r="E161" i="4"/>
  <c r="D161" i="4"/>
  <c r="B161" i="4"/>
  <c r="AE160" i="4"/>
  <c r="AC160" i="4"/>
  <c r="AB160" i="4"/>
  <c r="Z160" i="4"/>
  <c r="Y160" i="4"/>
  <c r="W160" i="4"/>
  <c r="V160" i="4"/>
  <c r="T160" i="4"/>
  <c r="S160" i="4"/>
  <c r="Q160" i="4"/>
  <c r="N160" i="4"/>
  <c r="M160" i="4"/>
  <c r="K160" i="4"/>
  <c r="H160" i="4"/>
  <c r="E160" i="4"/>
  <c r="D160" i="4"/>
  <c r="B160" i="4"/>
  <c r="AE159" i="4"/>
  <c r="AC159" i="4"/>
  <c r="AB159" i="4"/>
  <c r="Z159" i="4"/>
  <c r="Y159" i="4"/>
  <c r="W159" i="4"/>
  <c r="V159" i="4"/>
  <c r="T159" i="4"/>
  <c r="S159" i="4"/>
  <c r="Q159" i="4"/>
  <c r="P159" i="4"/>
  <c r="K159" i="4"/>
  <c r="J159" i="4"/>
  <c r="H159" i="4"/>
  <c r="G159" i="4"/>
  <c r="E159" i="4"/>
  <c r="B159" i="4"/>
  <c r="AE158" i="4"/>
  <c r="AC158" i="4"/>
  <c r="AB158" i="4"/>
  <c r="Z158" i="4"/>
  <c r="Y158" i="4"/>
  <c r="W158" i="4"/>
  <c r="V158" i="4"/>
  <c r="T158" i="4"/>
  <c r="Q158" i="4"/>
  <c r="P158" i="4"/>
  <c r="N158" i="4"/>
  <c r="M158" i="4"/>
  <c r="K158" i="4"/>
  <c r="J158" i="4"/>
  <c r="G158" i="4"/>
  <c r="E158" i="4"/>
  <c r="D158" i="4"/>
  <c r="AE157" i="4"/>
  <c r="AC157" i="4"/>
  <c r="AB157" i="4"/>
  <c r="Z157" i="4"/>
  <c r="Y157" i="4"/>
  <c r="W157" i="4"/>
  <c r="V157" i="4"/>
  <c r="T157" i="4"/>
  <c r="S157" i="4"/>
  <c r="P157" i="4"/>
  <c r="N157" i="4"/>
  <c r="M157" i="4"/>
  <c r="J157" i="4"/>
  <c r="H157" i="4"/>
  <c r="G157" i="4"/>
  <c r="D157" i="4"/>
  <c r="B157" i="4"/>
  <c r="AE153" i="4"/>
  <c r="AC153" i="4"/>
  <c r="AB153" i="4"/>
  <c r="Z153" i="4"/>
  <c r="Y153" i="4"/>
  <c r="W153" i="4"/>
  <c r="V153" i="4"/>
  <c r="T153" i="4"/>
  <c r="S153" i="4"/>
  <c r="Q153" i="4"/>
  <c r="P153" i="4"/>
  <c r="N153" i="4"/>
  <c r="M153" i="4"/>
  <c r="K153" i="4"/>
  <c r="J153" i="4"/>
  <c r="H153" i="4"/>
  <c r="G153" i="4"/>
  <c r="E153" i="4"/>
  <c r="D153" i="4"/>
  <c r="B153" i="4"/>
  <c r="AE152" i="4"/>
  <c r="AC152" i="4"/>
  <c r="AB152" i="4"/>
  <c r="Z152" i="4"/>
  <c r="Y152" i="4"/>
  <c r="W152" i="4"/>
  <c r="V152" i="4"/>
  <c r="T152" i="4"/>
  <c r="S152" i="4"/>
  <c r="Q152" i="4"/>
  <c r="N152" i="4"/>
  <c r="M152" i="4"/>
  <c r="K152" i="4"/>
  <c r="H152" i="4"/>
  <c r="E152" i="4"/>
  <c r="D152" i="4"/>
  <c r="B152" i="4"/>
  <c r="AE151" i="4"/>
  <c r="AC151" i="4"/>
  <c r="AB151" i="4"/>
  <c r="Z151" i="4"/>
  <c r="Y151" i="4"/>
  <c r="W151" i="4"/>
  <c r="V151" i="4"/>
  <c r="T151" i="4"/>
  <c r="S151" i="4"/>
  <c r="Q151" i="4"/>
  <c r="P151" i="4"/>
  <c r="K151" i="4"/>
  <c r="J151" i="4"/>
  <c r="H151" i="4"/>
  <c r="G151" i="4"/>
  <c r="E151" i="4"/>
  <c r="B151" i="4"/>
  <c r="AE150" i="4"/>
  <c r="AC150" i="4"/>
  <c r="AB150" i="4"/>
  <c r="Z150" i="4"/>
  <c r="Y150" i="4"/>
  <c r="W150" i="4"/>
  <c r="V150" i="4"/>
  <c r="T150" i="4"/>
  <c r="Q150" i="4"/>
  <c r="P150" i="4"/>
  <c r="N150" i="4"/>
  <c r="M150" i="4"/>
  <c r="K150" i="4"/>
  <c r="J150" i="4"/>
  <c r="G150" i="4"/>
  <c r="E150" i="4"/>
  <c r="D150" i="4"/>
  <c r="AE149" i="4"/>
  <c r="AC149" i="4"/>
  <c r="AB149" i="4"/>
  <c r="Z149" i="4"/>
  <c r="Y149" i="4"/>
  <c r="W149" i="4"/>
  <c r="V149" i="4"/>
  <c r="T149" i="4"/>
  <c r="S149" i="4"/>
  <c r="P149" i="4"/>
  <c r="N149" i="4"/>
  <c r="M149" i="4"/>
  <c r="J149" i="4"/>
  <c r="H149" i="4"/>
  <c r="G149" i="4"/>
  <c r="D149" i="4"/>
  <c r="B149" i="4"/>
  <c r="AE147" i="4"/>
  <c r="AC147" i="4"/>
  <c r="AB147" i="4"/>
  <c r="Z147" i="4"/>
  <c r="Y147" i="4"/>
  <c r="W147" i="4"/>
  <c r="V147" i="4"/>
  <c r="T147" i="4"/>
  <c r="S147" i="4"/>
  <c r="Q147" i="4"/>
  <c r="P147" i="4"/>
  <c r="N147" i="4"/>
  <c r="M147" i="4"/>
  <c r="K147" i="4"/>
  <c r="J147" i="4"/>
  <c r="H147" i="4"/>
  <c r="G147" i="4"/>
  <c r="E147" i="4"/>
  <c r="D147" i="4"/>
  <c r="B147" i="4"/>
  <c r="AE146" i="4"/>
  <c r="AC146" i="4"/>
  <c r="AB146" i="4"/>
  <c r="Z146" i="4"/>
  <c r="Y146" i="4"/>
  <c r="W146" i="4"/>
  <c r="V146" i="4"/>
  <c r="T146" i="4"/>
  <c r="S146" i="4"/>
  <c r="Q146" i="4"/>
  <c r="N146" i="4"/>
  <c r="M146" i="4"/>
  <c r="K146" i="4"/>
  <c r="H146" i="4"/>
  <c r="E146" i="4"/>
  <c r="D146" i="4"/>
  <c r="B146" i="4"/>
  <c r="AE145" i="4"/>
  <c r="AC145" i="4"/>
  <c r="AB145" i="4"/>
  <c r="Z145" i="4"/>
  <c r="Y145" i="4"/>
  <c r="W145" i="4"/>
  <c r="V145" i="4"/>
  <c r="T145" i="4"/>
  <c r="S145" i="4"/>
  <c r="Q145" i="4"/>
  <c r="P145" i="4"/>
  <c r="K145" i="4"/>
  <c r="J145" i="4"/>
  <c r="H145" i="4"/>
  <c r="G145" i="4"/>
  <c r="E145" i="4"/>
  <c r="B145" i="4"/>
  <c r="AE144" i="4"/>
  <c r="AC144" i="4"/>
  <c r="AB144" i="4"/>
  <c r="Z144" i="4"/>
  <c r="Y144" i="4"/>
  <c r="W144" i="4"/>
  <c r="V144" i="4"/>
  <c r="T144" i="4"/>
  <c r="Q144" i="4"/>
  <c r="P144" i="4"/>
  <c r="N144" i="4"/>
  <c r="M144" i="4"/>
  <c r="K144" i="4"/>
  <c r="J144" i="4"/>
  <c r="G144" i="4"/>
  <c r="E144" i="4"/>
  <c r="D144" i="4"/>
  <c r="AE143" i="4"/>
  <c r="AC143" i="4"/>
  <c r="AB143" i="4"/>
  <c r="Z143" i="4"/>
  <c r="Y143" i="4"/>
  <c r="W143" i="4"/>
  <c r="V143" i="4"/>
  <c r="T143" i="4"/>
  <c r="S143" i="4"/>
  <c r="P143" i="4"/>
  <c r="N143" i="4"/>
  <c r="M143" i="4"/>
  <c r="J143" i="4"/>
  <c r="H143" i="4"/>
  <c r="G143" i="4"/>
  <c r="D143" i="4"/>
  <c r="B143" i="4"/>
  <c r="AE141" i="4"/>
  <c r="AC141" i="4"/>
  <c r="AB141" i="4"/>
  <c r="Z141" i="4"/>
  <c r="Y141" i="4"/>
  <c r="W141" i="4"/>
  <c r="V141" i="4"/>
  <c r="T141" i="4"/>
  <c r="S141" i="4"/>
  <c r="Q141" i="4"/>
  <c r="P141" i="4"/>
  <c r="N141" i="4"/>
  <c r="M141" i="4"/>
  <c r="K141" i="4"/>
  <c r="J141" i="4"/>
  <c r="H141" i="4"/>
  <c r="G141" i="4"/>
  <c r="E141" i="4"/>
  <c r="D141" i="4"/>
  <c r="B141" i="4"/>
  <c r="AE140" i="4"/>
  <c r="AC140" i="4"/>
  <c r="AB140" i="4"/>
  <c r="Z140" i="4"/>
  <c r="Y140" i="4"/>
  <c r="W140" i="4"/>
  <c r="V140" i="4"/>
  <c r="T140" i="4"/>
  <c r="S140" i="4"/>
  <c r="Q140" i="4"/>
  <c r="N140" i="4"/>
  <c r="M140" i="4"/>
  <c r="K140" i="4"/>
  <c r="H140" i="4"/>
  <c r="E140" i="4"/>
  <c r="D140" i="4"/>
  <c r="B140" i="4"/>
  <c r="AE139" i="4"/>
  <c r="AC139" i="4"/>
  <c r="AB139" i="4"/>
  <c r="Z139" i="4"/>
  <c r="Y139" i="4"/>
  <c r="W139" i="4"/>
  <c r="V139" i="4"/>
  <c r="T139" i="4"/>
  <c r="S139" i="4"/>
  <c r="Q139" i="4"/>
  <c r="P139" i="4"/>
  <c r="K139" i="4"/>
  <c r="J139" i="4"/>
  <c r="H139" i="4"/>
  <c r="G139" i="4"/>
  <c r="E139" i="4"/>
  <c r="B139" i="4"/>
  <c r="AE138" i="4"/>
  <c r="AC138" i="4"/>
  <c r="AB138" i="4"/>
  <c r="Z138" i="4"/>
  <c r="Y138" i="4"/>
  <c r="W138" i="4"/>
  <c r="V138" i="4"/>
  <c r="T138" i="4"/>
  <c r="Q138" i="4"/>
  <c r="P138" i="4"/>
  <c r="N138" i="4"/>
  <c r="M138" i="4"/>
  <c r="K138" i="4"/>
  <c r="J138" i="4"/>
  <c r="G138" i="4"/>
  <c r="E138" i="4"/>
  <c r="D138" i="4"/>
  <c r="AE137" i="4"/>
  <c r="AC137" i="4"/>
  <c r="AB137" i="4"/>
  <c r="Z137" i="4"/>
  <c r="Y137" i="4"/>
  <c r="W137" i="4"/>
  <c r="V137" i="4"/>
  <c r="T137" i="4"/>
  <c r="S137" i="4"/>
  <c r="P137" i="4"/>
  <c r="N137" i="4"/>
  <c r="M137" i="4"/>
  <c r="J137" i="4"/>
  <c r="H137" i="4"/>
  <c r="G137" i="4"/>
  <c r="D137" i="4"/>
  <c r="B137" i="4"/>
  <c r="AE135" i="4"/>
  <c r="AC135" i="4"/>
  <c r="AB135" i="4"/>
  <c r="Z135" i="4"/>
  <c r="Y135" i="4"/>
  <c r="W135" i="4"/>
  <c r="V135" i="4"/>
  <c r="T135" i="4"/>
  <c r="S135" i="4"/>
  <c r="Q135" i="4"/>
  <c r="P135" i="4"/>
  <c r="N135" i="4"/>
  <c r="M135" i="4"/>
  <c r="K135" i="4"/>
  <c r="J135" i="4"/>
  <c r="H135" i="4"/>
  <c r="G135" i="4"/>
  <c r="E135" i="4"/>
  <c r="D135" i="4"/>
  <c r="B135" i="4"/>
  <c r="AE134" i="4"/>
  <c r="AC134" i="4"/>
  <c r="AB134" i="4"/>
  <c r="Z134" i="4"/>
  <c r="Y134" i="4"/>
  <c r="W134" i="4"/>
  <c r="V134" i="4"/>
  <c r="T134" i="4"/>
  <c r="S134" i="4"/>
  <c r="Q134" i="4"/>
  <c r="N134" i="4"/>
  <c r="M134" i="4"/>
  <c r="K134" i="4"/>
  <c r="H134" i="4"/>
  <c r="E134" i="4"/>
  <c r="D134" i="4"/>
  <c r="B134" i="4"/>
  <c r="AE133" i="4"/>
  <c r="AC133" i="4"/>
  <c r="AB133" i="4"/>
  <c r="Z133" i="4"/>
  <c r="Y133" i="4"/>
  <c r="W133" i="4"/>
  <c r="V133" i="4"/>
  <c r="T133" i="4"/>
  <c r="S133" i="4"/>
  <c r="Q133" i="4"/>
  <c r="P133" i="4"/>
  <c r="K133" i="4"/>
  <c r="J133" i="4"/>
  <c r="H133" i="4"/>
  <c r="G133" i="4"/>
  <c r="E133" i="4"/>
  <c r="B133" i="4"/>
  <c r="AE132" i="4"/>
  <c r="AC132" i="4"/>
  <c r="AB132" i="4"/>
  <c r="Z132" i="4"/>
  <c r="Y132" i="4"/>
  <c r="W132" i="4"/>
  <c r="V132" i="4"/>
  <c r="T132" i="4"/>
  <c r="Q132" i="4"/>
  <c r="P132" i="4"/>
  <c r="N132" i="4"/>
  <c r="M132" i="4"/>
  <c r="K132" i="4"/>
  <c r="J132" i="4"/>
  <c r="G132" i="4"/>
  <c r="E132" i="4"/>
  <c r="D132" i="4"/>
  <c r="AE131" i="4"/>
  <c r="AC131" i="4"/>
  <c r="AB131" i="4"/>
  <c r="Z131" i="4"/>
  <c r="Y131" i="4"/>
  <c r="W131" i="4"/>
  <c r="V131" i="4"/>
  <c r="T131" i="4"/>
  <c r="S131" i="4"/>
  <c r="P131" i="4"/>
  <c r="N131" i="4"/>
  <c r="M131" i="4"/>
  <c r="J131" i="4"/>
  <c r="H131" i="4"/>
  <c r="G131" i="4"/>
  <c r="D131" i="4"/>
  <c r="B131" i="4"/>
  <c r="AE120" i="4"/>
  <c r="AE128" i="4" s="1"/>
  <c r="AC120" i="4"/>
  <c r="AC128" i="4" s="1"/>
  <c r="AB120" i="4"/>
  <c r="AB128" i="4" s="1"/>
  <c r="Z120" i="4"/>
  <c r="Z128" i="4" s="1"/>
  <c r="Y120" i="4"/>
  <c r="Y128" i="4" s="1"/>
  <c r="W120" i="4"/>
  <c r="W128" i="4" s="1"/>
  <c r="V120" i="4"/>
  <c r="V128" i="4" s="1"/>
  <c r="T120" i="4"/>
  <c r="T128" i="4" s="1"/>
  <c r="S120" i="4"/>
  <c r="S128" i="4" s="1"/>
  <c r="Q120" i="4"/>
  <c r="Q128" i="4" s="1"/>
  <c r="P120" i="4"/>
  <c r="P128" i="4" s="1"/>
  <c r="N120" i="4"/>
  <c r="N128" i="4" s="1"/>
  <c r="M120" i="4"/>
  <c r="M128" i="4" s="1"/>
  <c r="K120" i="4"/>
  <c r="K128" i="4" s="1"/>
  <c r="J120" i="4"/>
  <c r="J128" i="4" s="1"/>
  <c r="H120" i="4"/>
  <c r="H128" i="4" s="1"/>
  <c r="G120" i="4"/>
  <c r="G128" i="4" s="1"/>
  <c r="E120" i="4"/>
  <c r="E128" i="4" s="1"/>
  <c r="D120" i="4"/>
  <c r="D128" i="4" s="1"/>
  <c r="B120" i="4"/>
  <c r="B128" i="4" s="1"/>
  <c r="AE119" i="4"/>
  <c r="AE127" i="4" s="1"/>
  <c r="AC119" i="4"/>
  <c r="AC127" i="4" s="1"/>
  <c r="AB119" i="4"/>
  <c r="AB127" i="4" s="1"/>
  <c r="Z119" i="4"/>
  <c r="Z127" i="4" s="1"/>
  <c r="Y119" i="4"/>
  <c r="Y127" i="4" s="1"/>
  <c r="W119" i="4"/>
  <c r="W127" i="4" s="1"/>
  <c r="V119" i="4"/>
  <c r="V127" i="4" s="1"/>
  <c r="T119" i="4"/>
  <c r="T127" i="4" s="1"/>
  <c r="S119" i="4"/>
  <c r="S127" i="4" s="1"/>
  <c r="Q119" i="4"/>
  <c r="Q127" i="4" s="1"/>
  <c r="P119" i="4"/>
  <c r="P127" i="4" s="1"/>
  <c r="N119" i="4"/>
  <c r="N127" i="4" s="1"/>
  <c r="M119" i="4"/>
  <c r="M127" i="4" s="1"/>
  <c r="K119" i="4"/>
  <c r="K127" i="4" s="1"/>
  <c r="J119" i="4"/>
  <c r="J127" i="4" s="1"/>
  <c r="H119" i="4"/>
  <c r="H127" i="4" s="1"/>
  <c r="G119" i="4"/>
  <c r="G127" i="4" s="1"/>
  <c r="E119" i="4"/>
  <c r="E127" i="4" s="1"/>
  <c r="D119" i="4"/>
  <c r="D127" i="4" s="1"/>
  <c r="B119" i="4"/>
  <c r="B127" i="4" s="1"/>
  <c r="AE118" i="4"/>
  <c r="AE126" i="4" s="1"/>
  <c r="AC118" i="4"/>
  <c r="AC126" i="4" s="1"/>
  <c r="AB118" i="4"/>
  <c r="AB126" i="4" s="1"/>
  <c r="Z118" i="4"/>
  <c r="Z126" i="4" s="1"/>
  <c r="Y118" i="4"/>
  <c r="Y126" i="4" s="1"/>
  <c r="W118" i="4"/>
  <c r="W126" i="4" s="1"/>
  <c r="V118" i="4"/>
  <c r="V126" i="4" s="1"/>
  <c r="T118" i="4"/>
  <c r="T126" i="4" s="1"/>
  <c r="S118" i="4"/>
  <c r="S126" i="4" s="1"/>
  <c r="Q118" i="4"/>
  <c r="Q126" i="4" s="1"/>
  <c r="P118" i="4"/>
  <c r="P126" i="4" s="1"/>
  <c r="N118" i="4"/>
  <c r="N126" i="4" s="1"/>
  <c r="M118" i="4"/>
  <c r="M126" i="4" s="1"/>
  <c r="K118" i="4"/>
  <c r="K126" i="4" s="1"/>
  <c r="J118" i="4"/>
  <c r="J126" i="4" s="1"/>
  <c r="H118" i="4"/>
  <c r="H126" i="4" s="1"/>
  <c r="G118" i="4"/>
  <c r="G126" i="4" s="1"/>
  <c r="E118" i="4"/>
  <c r="E126" i="4" s="1"/>
  <c r="D118" i="4"/>
  <c r="D126" i="4" s="1"/>
  <c r="B118" i="4"/>
  <c r="B126" i="4" s="1"/>
  <c r="AE117" i="4"/>
  <c r="AE125" i="4" s="1"/>
  <c r="AC117" i="4"/>
  <c r="AC125" i="4" s="1"/>
  <c r="AB117" i="4"/>
  <c r="AB125" i="4" s="1"/>
  <c r="Z117" i="4"/>
  <c r="Z125" i="4" s="1"/>
  <c r="Y117" i="4"/>
  <c r="Y125" i="4" s="1"/>
  <c r="W117" i="4"/>
  <c r="W125" i="4" s="1"/>
  <c r="V117" i="4"/>
  <c r="V125" i="4" s="1"/>
  <c r="T117" i="4"/>
  <c r="T125" i="4" s="1"/>
  <c r="S117" i="4"/>
  <c r="S125" i="4" s="1"/>
  <c r="Q117" i="4"/>
  <c r="Q125" i="4" s="1"/>
  <c r="P117" i="4"/>
  <c r="P125" i="4" s="1"/>
  <c r="N117" i="4"/>
  <c r="N125" i="4" s="1"/>
  <c r="M117" i="4"/>
  <c r="M125" i="4" s="1"/>
  <c r="K117" i="4"/>
  <c r="K125" i="4" s="1"/>
  <c r="J117" i="4"/>
  <c r="J125" i="4" s="1"/>
  <c r="H117" i="4"/>
  <c r="H125" i="4" s="1"/>
  <c r="G117" i="4"/>
  <c r="G125" i="4" s="1"/>
  <c r="E117" i="4"/>
  <c r="E125" i="4" s="1"/>
  <c r="D117" i="4"/>
  <c r="D125" i="4" s="1"/>
  <c r="B117" i="4"/>
  <c r="B125" i="4" s="1"/>
  <c r="AE116" i="4"/>
  <c r="AE124" i="4" s="1"/>
  <c r="AC116" i="4"/>
  <c r="AC121" i="4" s="1"/>
  <c r="AB116" i="4"/>
  <c r="AB121" i="4" s="1"/>
  <c r="Z116" i="4"/>
  <c r="Z121" i="4" s="1"/>
  <c r="Z122" i="4" s="1"/>
  <c r="Y116" i="4"/>
  <c r="Y121" i="4" s="1"/>
  <c r="W116" i="4"/>
  <c r="W121" i="4" s="1"/>
  <c r="V116" i="4"/>
  <c r="V121" i="4" s="1"/>
  <c r="T116" i="4"/>
  <c r="T121" i="4" s="1"/>
  <c r="T122" i="4" s="1"/>
  <c r="S116" i="4"/>
  <c r="S150" i="4" s="1"/>
  <c r="Q116" i="4"/>
  <c r="Q121" i="4" s="1"/>
  <c r="P116" i="4"/>
  <c r="P152" i="4" s="1"/>
  <c r="N116" i="4"/>
  <c r="N151" i="4" s="1"/>
  <c r="M116" i="4"/>
  <c r="M151" i="4" s="1"/>
  <c r="K116" i="4"/>
  <c r="K121" i="4" s="1"/>
  <c r="J116" i="4"/>
  <c r="J152" i="4" s="1"/>
  <c r="H116" i="4"/>
  <c r="H150" i="4" s="1"/>
  <c r="G116" i="4"/>
  <c r="G121" i="4" s="1"/>
  <c r="E116" i="4"/>
  <c r="E121" i="4" s="1"/>
  <c r="D116" i="4"/>
  <c r="D121" i="4" s="1"/>
  <c r="B116" i="4"/>
  <c r="B150" i="4" s="1"/>
  <c r="AF150" i="4" s="1"/>
  <c r="AE115" i="4"/>
  <c r="AC115" i="4"/>
  <c r="AB115" i="4"/>
  <c r="Z115" i="4"/>
  <c r="Y115" i="4"/>
  <c r="W115" i="4"/>
  <c r="V115" i="4"/>
  <c r="T115" i="4"/>
  <c r="S115" i="4"/>
  <c r="AL110" i="4" s="1"/>
  <c r="Q115" i="4"/>
  <c r="P115" i="4"/>
  <c r="N115" i="4"/>
  <c r="AK112" i="4" s="1"/>
  <c r="M115" i="4"/>
  <c r="AJ111" i="4" s="1"/>
  <c r="K115" i="4"/>
  <c r="J115" i="4"/>
  <c r="H115" i="4"/>
  <c r="AI110" i="4" s="1"/>
  <c r="G115" i="4"/>
  <c r="AH112" i="4" s="1"/>
  <c r="E115" i="4"/>
  <c r="D115" i="4"/>
  <c r="B115" i="4"/>
  <c r="AD114" i="4"/>
  <c r="AA114" i="4"/>
  <c r="X114" i="4"/>
  <c r="U114" i="4"/>
  <c r="R114" i="4"/>
  <c r="O114" i="4"/>
  <c r="L114" i="4"/>
  <c r="I114" i="4"/>
  <c r="F114" i="4"/>
  <c r="A114" i="4"/>
  <c r="AP113" i="4"/>
  <c r="AO113" i="4"/>
  <c r="AN113" i="4"/>
  <c r="AM113" i="4"/>
  <c r="AL113" i="4"/>
  <c r="AK113" i="4"/>
  <c r="AJ113" i="4"/>
  <c r="AI113" i="4"/>
  <c r="AH113" i="4"/>
  <c r="AG113" i="4"/>
  <c r="AF113" i="4"/>
  <c r="AD113" i="4"/>
  <c r="AA113" i="4"/>
  <c r="X113" i="4"/>
  <c r="U113" i="4"/>
  <c r="R113" i="4"/>
  <c r="O113" i="4"/>
  <c r="L113" i="4"/>
  <c r="I113" i="4"/>
  <c r="F113" i="4"/>
  <c r="A113" i="4"/>
  <c r="AP112" i="4"/>
  <c r="AO112" i="4"/>
  <c r="AN112" i="4"/>
  <c r="AM112" i="4"/>
  <c r="AL112" i="4"/>
  <c r="AJ112" i="4"/>
  <c r="AG112" i="4"/>
  <c r="AF112" i="4"/>
  <c r="AD112" i="4"/>
  <c r="AA112" i="4"/>
  <c r="X112" i="4"/>
  <c r="U112" i="4"/>
  <c r="R112" i="4"/>
  <c r="O112" i="4"/>
  <c r="L112" i="4"/>
  <c r="I112" i="4"/>
  <c r="F112" i="4"/>
  <c r="A112" i="4"/>
  <c r="AP111" i="4"/>
  <c r="AO111" i="4"/>
  <c r="AN111" i="4"/>
  <c r="AM111" i="4"/>
  <c r="AL111" i="4"/>
  <c r="AI111" i="4"/>
  <c r="AH111" i="4"/>
  <c r="AG111" i="4"/>
  <c r="AF111" i="4"/>
  <c r="AD111" i="4"/>
  <c r="AA111" i="4"/>
  <c r="X111" i="4"/>
  <c r="U111" i="4"/>
  <c r="R111" i="4"/>
  <c r="O111" i="4"/>
  <c r="L111" i="4"/>
  <c r="I111" i="4"/>
  <c r="F111" i="4"/>
  <c r="A111" i="4"/>
  <c r="AP110" i="4"/>
  <c r="AO110" i="4"/>
  <c r="AN110" i="4"/>
  <c r="AM110" i="4"/>
  <c r="AK110" i="4"/>
  <c r="AJ110" i="4"/>
  <c r="AH110" i="4"/>
  <c r="AG110" i="4"/>
  <c r="AF110" i="4"/>
  <c r="AD110" i="4"/>
  <c r="AA110" i="4"/>
  <c r="X110" i="4"/>
  <c r="U110" i="4"/>
  <c r="AP109" i="4"/>
  <c r="AO109" i="4"/>
  <c r="AN109" i="4"/>
  <c r="AM109" i="4"/>
  <c r="AK109" i="4"/>
  <c r="AJ109" i="4"/>
  <c r="AI109" i="4"/>
  <c r="AG109" i="4"/>
  <c r="AF109" i="4"/>
  <c r="AD109" i="4"/>
  <c r="AA109" i="4"/>
  <c r="X109" i="4"/>
  <c r="U109" i="4"/>
  <c r="R109" i="4"/>
  <c r="O109" i="4"/>
  <c r="L109" i="4"/>
  <c r="I109" i="4"/>
  <c r="F109" i="4"/>
  <c r="AC107" i="4"/>
  <c r="Z107" i="4"/>
  <c r="W107" i="4"/>
  <c r="T107" i="4"/>
  <c r="Q107" i="4"/>
  <c r="N107" i="4"/>
  <c r="K107" i="4"/>
  <c r="H107" i="4"/>
  <c r="E107" i="4"/>
  <c r="E102" i="4"/>
  <c r="E101" i="4"/>
  <c r="B168" i="4" s="1"/>
  <c r="AT168" i="4" s="1"/>
  <c r="A101" i="4"/>
  <c r="E100" i="4"/>
  <c r="E99" i="4"/>
  <c r="B167" i="4" s="1"/>
  <c r="A99" i="4"/>
  <c r="E98" i="4"/>
  <c r="E97" i="4"/>
  <c r="A97" i="4"/>
  <c r="E96" i="4"/>
  <c r="E95" i="4"/>
  <c r="A95" i="4"/>
  <c r="E94" i="4"/>
  <c r="E93" i="4"/>
  <c r="A93" i="4"/>
  <c r="R92" i="4"/>
  <c r="L92" i="4"/>
  <c r="K91" i="4"/>
  <c r="A89" i="4"/>
  <c r="AE85" i="4"/>
  <c r="AC85" i="4"/>
  <c r="AB85" i="4"/>
  <c r="Z85" i="4"/>
  <c r="Y85" i="4"/>
  <c r="W85" i="4"/>
  <c r="V85" i="4"/>
  <c r="T85" i="4"/>
  <c r="AE76" i="4"/>
  <c r="AC76" i="4"/>
  <c r="AB76" i="4"/>
  <c r="Z76" i="4"/>
  <c r="Y76" i="4"/>
  <c r="W76" i="4"/>
  <c r="V76" i="4"/>
  <c r="T76" i="4"/>
  <c r="S76" i="4"/>
  <c r="Q76" i="4"/>
  <c r="P76" i="4"/>
  <c r="N76" i="4"/>
  <c r="M76" i="4"/>
  <c r="K76" i="4"/>
  <c r="J76" i="4"/>
  <c r="H76" i="4"/>
  <c r="G76" i="4"/>
  <c r="E76" i="4"/>
  <c r="D76" i="4"/>
  <c r="B76" i="4"/>
  <c r="AE75" i="4"/>
  <c r="AC75" i="4"/>
  <c r="AB75" i="4"/>
  <c r="Z75" i="4"/>
  <c r="Y75" i="4"/>
  <c r="W75" i="4"/>
  <c r="V75" i="4"/>
  <c r="T75" i="4"/>
  <c r="S75" i="4"/>
  <c r="Q75" i="4"/>
  <c r="N75" i="4"/>
  <c r="M75" i="4"/>
  <c r="K75" i="4"/>
  <c r="H75" i="4"/>
  <c r="E75" i="4"/>
  <c r="D75" i="4"/>
  <c r="B75" i="4"/>
  <c r="AE74" i="4"/>
  <c r="AC74" i="4"/>
  <c r="AB74" i="4"/>
  <c r="Z74" i="4"/>
  <c r="Y74" i="4"/>
  <c r="W74" i="4"/>
  <c r="V74" i="4"/>
  <c r="T74" i="4"/>
  <c r="S74" i="4"/>
  <c r="Q74" i="4"/>
  <c r="P74" i="4"/>
  <c r="K74" i="4"/>
  <c r="J74" i="4"/>
  <c r="H74" i="4"/>
  <c r="G74" i="4"/>
  <c r="E74" i="4"/>
  <c r="B74" i="4"/>
  <c r="AE73" i="4"/>
  <c r="AC73" i="4"/>
  <c r="AB73" i="4"/>
  <c r="Z73" i="4"/>
  <c r="Y73" i="4"/>
  <c r="W73" i="4"/>
  <c r="V73" i="4"/>
  <c r="T73" i="4"/>
  <c r="Q73" i="4"/>
  <c r="P73" i="4"/>
  <c r="N73" i="4"/>
  <c r="M73" i="4"/>
  <c r="K73" i="4"/>
  <c r="J73" i="4"/>
  <c r="G73" i="4"/>
  <c r="E73" i="4"/>
  <c r="D73" i="4"/>
  <c r="AE72" i="4"/>
  <c r="AC72" i="4"/>
  <c r="AB72" i="4"/>
  <c r="Z72" i="4"/>
  <c r="Y72" i="4"/>
  <c r="W72" i="4"/>
  <c r="V72" i="4"/>
  <c r="T72" i="4"/>
  <c r="S72" i="4"/>
  <c r="P72" i="4"/>
  <c r="N72" i="4"/>
  <c r="M72" i="4"/>
  <c r="J72" i="4"/>
  <c r="H72" i="4"/>
  <c r="G72" i="4"/>
  <c r="D72" i="4"/>
  <c r="B72" i="4"/>
  <c r="AE68" i="4"/>
  <c r="AC68" i="4"/>
  <c r="AB68" i="4"/>
  <c r="Z68" i="4"/>
  <c r="Y68" i="4"/>
  <c r="W68" i="4"/>
  <c r="V68" i="4"/>
  <c r="T68" i="4"/>
  <c r="S68" i="4"/>
  <c r="Q68" i="4"/>
  <c r="P68" i="4"/>
  <c r="N68" i="4"/>
  <c r="M68" i="4"/>
  <c r="K68" i="4"/>
  <c r="J68" i="4"/>
  <c r="H68" i="4"/>
  <c r="G68" i="4"/>
  <c r="E68" i="4"/>
  <c r="D68" i="4"/>
  <c r="B68" i="4"/>
  <c r="AE67" i="4"/>
  <c r="AC67" i="4"/>
  <c r="AB67" i="4"/>
  <c r="Z67" i="4"/>
  <c r="Y67" i="4"/>
  <c r="W67" i="4"/>
  <c r="V67" i="4"/>
  <c r="T67" i="4"/>
  <c r="S67" i="4"/>
  <c r="Q67" i="4"/>
  <c r="N67" i="4"/>
  <c r="M67" i="4"/>
  <c r="K67" i="4"/>
  <c r="H67" i="4"/>
  <c r="E67" i="4"/>
  <c r="D67" i="4"/>
  <c r="B67" i="4"/>
  <c r="AE66" i="4"/>
  <c r="AC66" i="4"/>
  <c r="AB66" i="4"/>
  <c r="Z66" i="4"/>
  <c r="Y66" i="4"/>
  <c r="W66" i="4"/>
  <c r="V66" i="4"/>
  <c r="T66" i="4"/>
  <c r="S66" i="4"/>
  <c r="Q66" i="4"/>
  <c r="P66" i="4"/>
  <c r="K66" i="4"/>
  <c r="J66" i="4"/>
  <c r="H66" i="4"/>
  <c r="G66" i="4"/>
  <c r="E66" i="4"/>
  <c r="B66" i="4"/>
  <c r="AE65" i="4"/>
  <c r="AC65" i="4"/>
  <c r="AB65" i="4"/>
  <c r="Z65" i="4"/>
  <c r="Y65" i="4"/>
  <c r="X71" i="4" s="1"/>
  <c r="W65" i="4"/>
  <c r="V65" i="4"/>
  <c r="T65" i="4"/>
  <c r="Q65" i="4"/>
  <c r="P65" i="4"/>
  <c r="N65" i="4"/>
  <c r="M65" i="4"/>
  <c r="K65" i="4"/>
  <c r="J65" i="4"/>
  <c r="G65" i="4"/>
  <c r="E65" i="4"/>
  <c r="D65" i="4"/>
  <c r="AE64" i="4"/>
  <c r="AC64" i="4"/>
  <c r="AB64" i="4"/>
  <c r="Z64" i="4"/>
  <c r="AA71" i="4" s="1"/>
  <c r="Y64" i="4"/>
  <c r="W64" i="4"/>
  <c r="V64" i="4"/>
  <c r="T64" i="4"/>
  <c r="U71" i="4" s="1"/>
  <c r="S64" i="4"/>
  <c r="P64" i="4"/>
  <c r="N64" i="4"/>
  <c r="M64" i="4"/>
  <c r="J64" i="4"/>
  <c r="H64" i="4"/>
  <c r="G64" i="4"/>
  <c r="D64" i="4"/>
  <c r="B64" i="4"/>
  <c r="AE62" i="4"/>
  <c r="AC62" i="4"/>
  <c r="AB62" i="4"/>
  <c r="Z62" i="4"/>
  <c r="Y62" i="4"/>
  <c r="W62" i="4"/>
  <c r="V62" i="4"/>
  <c r="T62" i="4"/>
  <c r="S62" i="4"/>
  <c r="Q62" i="4"/>
  <c r="P62" i="4"/>
  <c r="N62" i="4"/>
  <c r="M62" i="4"/>
  <c r="K62" i="4"/>
  <c r="J62" i="4"/>
  <c r="H62" i="4"/>
  <c r="G62" i="4"/>
  <c r="E62" i="4"/>
  <c r="D62" i="4"/>
  <c r="B62" i="4"/>
  <c r="AE61" i="4"/>
  <c r="AC61" i="4"/>
  <c r="AB61" i="4"/>
  <c r="Z61" i="4"/>
  <c r="Y61" i="4"/>
  <c r="W61" i="4"/>
  <c r="V61" i="4"/>
  <c r="T61" i="4"/>
  <c r="S61" i="4"/>
  <c r="Q61" i="4"/>
  <c r="N61" i="4"/>
  <c r="M61" i="4"/>
  <c r="K61" i="4"/>
  <c r="H61" i="4"/>
  <c r="E61" i="4"/>
  <c r="D61" i="4"/>
  <c r="B61" i="4"/>
  <c r="AE60" i="4"/>
  <c r="AC60" i="4"/>
  <c r="AB60" i="4"/>
  <c r="Z60" i="4"/>
  <c r="Y60" i="4"/>
  <c r="W60" i="4"/>
  <c r="V60" i="4"/>
  <c r="T60" i="4"/>
  <c r="S60" i="4"/>
  <c r="Q60" i="4"/>
  <c r="P60" i="4"/>
  <c r="K60" i="4"/>
  <c r="J60" i="4"/>
  <c r="H60" i="4"/>
  <c r="G60" i="4"/>
  <c r="E60" i="4"/>
  <c r="B60" i="4"/>
  <c r="AE59" i="4"/>
  <c r="AC59" i="4"/>
  <c r="AB59" i="4"/>
  <c r="Z59" i="4"/>
  <c r="Y59" i="4"/>
  <c r="W59" i="4"/>
  <c r="V59" i="4"/>
  <c r="T59" i="4"/>
  <c r="Q59" i="4"/>
  <c r="P59" i="4"/>
  <c r="N59" i="4"/>
  <c r="M59" i="4"/>
  <c r="K59" i="4"/>
  <c r="J59" i="4"/>
  <c r="G59" i="4"/>
  <c r="E59" i="4"/>
  <c r="D59" i="4"/>
  <c r="AE58" i="4"/>
  <c r="AC58" i="4"/>
  <c r="AB58" i="4"/>
  <c r="Z58" i="4"/>
  <c r="Y58" i="4"/>
  <c r="W58" i="4"/>
  <c r="V58" i="4"/>
  <c r="T58" i="4"/>
  <c r="S58" i="4"/>
  <c r="P58" i="4"/>
  <c r="N58" i="4"/>
  <c r="M58" i="4"/>
  <c r="J58" i="4"/>
  <c r="H58" i="4"/>
  <c r="G58" i="4"/>
  <c r="D58" i="4"/>
  <c r="B58" i="4"/>
  <c r="AE56" i="4"/>
  <c r="AC56" i="4"/>
  <c r="AB56" i="4"/>
  <c r="Z56" i="4"/>
  <c r="Y56" i="4"/>
  <c r="W56" i="4"/>
  <c r="V56" i="4"/>
  <c r="T56" i="4"/>
  <c r="S56" i="4"/>
  <c r="Q56" i="4"/>
  <c r="P56" i="4"/>
  <c r="N56" i="4"/>
  <c r="M56" i="4"/>
  <c r="K56" i="4"/>
  <c r="J56" i="4"/>
  <c r="H56" i="4"/>
  <c r="G56" i="4"/>
  <c r="E56" i="4"/>
  <c r="D56" i="4"/>
  <c r="B56" i="4"/>
  <c r="AE55" i="4"/>
  <c r="AC55" i="4"/>
  <c r="AB55" i="4"/>
  <c r="Z55" i="4"/>
  <c r="Y55" i="4"/>
  <c r="W55" i="4"/>
  <c r="V55" i="4"/>
  <c r="T55" i="4"/>
  <c r="S55" i="4"/>
  <c r="Q55" i="4"/>
  <c r="N55" i="4"/>
  <c r="M55" i="4"/>
  <c r="K55" i="4"/>
  <c r="H55" i="4"/>
  <c r="E55" i="4"/>
  <c r="D55" i="4"/>
  <c r="B55" i="4"/>
  <c r="AE54" i="4"/>
  <c r="AC54" i="4"/>
  <c r="AB54" i="4"/>
  <c r="Z54" i="4"/>
  <c r="Y54" i="4"/>
  <c r="W54" i="4"/>
  <c r="V54" i="4"/>
  <c r="T54" i="4"/>
  <c r="S54" i="4"/>
  <c r="Q54" i="4"/>
  <c r="P54" i="4"/>
  <c r="K54" i="4"/>
  <c r="J54" i="4"/>
  <c r="H54" i="4"/>
  <c r="G54" i="4"/>
  <c r="E54" i="4"/>
  <c r="B54" i="4"/>
  <c r="AE53" i="4"/>
  <c r="AC53" i="4"/>
  <c r="AB53" i="4"/>
  <c r="Z53" i="4"/>
  <c r="Y53" i="4"/>
  <c r="W53" i="4"/>
  <c r="V53" i="4"/>
  <c r="T53" i="4"/>
  <c r="Q53" i="4"/>
  <c r="P53" i="4"/>
  <c r="N53" i="4"/>
  <c r="M53" i="4"/>
  <c r="K53" i="4"/>
  <c r="J53" i="4"/>
  <c r="G53" i="4"/>
  <c r="E53" i="4"/>
  <c r="D53" i="4"/>
  <c r="AE52" i="4"/>
  <c r="AC52" i="4"/>
  <c r="AB52" i="4"/>
  <c r="Z52" i="4"/>
  <c r="Y52" i="4"/>
  <c r="W52" i="4"/>
  <c r="V52" i="4"/>
  <c r="T52" i="4"/>
  <c r="S52" i="4"/>
  <c r="P52" i="4"/>
  <c r="N52" i="4"/>
  <c r="M52" i="4"/>
  <c r="J52" i="4"/>
  <c r="H52" i="4"/>
  <c r="G52" i="4"/>
  <c r="D52" i="4"/>
  <c r="B52" i="4"/>
  <c r="AE50" i="4"/>
  <c r="AC50" i="4"/>
  <c r="AB50" i="4"/>
  <c r="Z50" i="4"/>
  <c r="Y50" i="4"/>
  <c r="W50" i="4"/>
  <c r="V50" i="4"/>
  <c r="T50" i="4"/>
  <c r="S50" i="4"/>
  <c r="Q50" i="4"/>
  <c r="P50" i="4"/>
  <c r="N50" i="4"/>
  <c r="M50" i="4"/>
  <c r="K50" i="4"/>
  <c r="J50" i="4"/>
  <c r="H50" i="4"/>
  <c r="G50" i="4"/>
  <c r="E50" i="4"/>
  <c r="D50" i="4"/>
  <c r="B50" i="4"/>
  <c r="AE49" i="4"/>
  <c r="AC49" i="4"/>
  <c r="AB49" i="4"/>
  <c r="Z49" i="4"/>
  <c r="Y49" i="4"/>
  <c r="W49" i="4"/>
  <c r="V49" i="4"/>
  <c r="T49" i="4"/>
  <c r="S49" i="4"/>
  <c r="Q49" i="4"/>
  <c r="N49" i="4"/>
  <c r="M49" i="4"/>
  <c r="K49" i="4"/>
  <c r="H49" i="4"/>
  <c r="E49" i="4"/>
  <c r="D49" i="4"/>
  <c r="B49" i="4"/>
  <c r="AE48" i="4"/>
  <c r="AC48" i="4"/>
  <c r="AB48" i="4"/>
  <c r="Z48" i="4"/>
  <c r="Y48" i="4"/>
  <c r="W48" i="4"/>
  <c r="V48" i="4"/>
  <c r="T48" i="4"/>
  <c r="S48" i="4"/>
  <c r="Q48" i="4"/>
  <c r="P48" i="4"/>
  <c r="K48" i="4"/>
  <c r="J48" i="4"/>
  <c r="H48" i="4"/>
  <c r="G48" i="4"/>
  <c r="E48" i="4"/>
  <c r="B48" i="4"/>
  <c r="AE47" i="4"/>
  <c r="AC47" i="4"/>
  <c r="AB47" i="4"/>
  <c r="Z47" i="4"/>
  <c r="Y47" i="4"/>
  <c r="W47" i="4"/>
  <c r="V47" i="4"/>
  <c r="T47" i="4"/>
  <c r="Q47" i="4"/>
  <c r="P47" i="4"/>
  <c r="N47" i="4"/>
  <c r="M47" i="4"/>
  <c r="K47" i="4"/>
  <c r="J47" i="4"/>
  <c r="G47" i="4"/>
  <c r="E47" i="4"/>
  <c r="D47" i="4"/>
  <c r="AE46" i="4"/>
  <c r="AC46" i="4"/>
  <c r="AB46" i="4"/>
  <c r="Z46" i="4"/>
  <c r="Y46" i="4"/>
  <c r="W46" i="4"/>
  <c r="V46" i="4"/>
  <c r="T46" i="4"/>
  <c r="S46" i="4"/>
  <c r="P46" i="4"/>
  <c r="N46" i="4"/>
  <c r="M46" i="4"/>
  <c r="J46" i="4"/>
  <c r="H46" i="4"/>
  <c r="G46" i="4"/>
  <c r="D46" i="4"/>
  <c r="B46" i="4"/>
  <c r="AC43" i="4"/>
  <c r="Q43" i="4"/>
  <c r="E43" i="4"/>
  <c r="W42" i="4"/>
  <c r="K42" i="4"/>
  <c r="AC41" i="4"/>
  <c r="Q41" i="4"/>
  <c r="E41" i="4"/>
  <c r="W40" i="4"/>
  <c r="AE35" i="4"/>
  <c r="AE43" i="4" s="1"/>
  <c r="AC35" i="4"/>
  <c r="AB35" i="4"/>
  <c r="AB43" i="4" s="1"/>
  <c r="Z35" i="4"/>
  <c r="Z43" i="4" s="1"/>
  <c r="Y35" i="4"/>
  <c r="Y43" i="4" s="1"/>
  <c r="W35" i="4"/>
  <c r="W43" i="4" s="1"/>
  <c r="V35" i="4"/>
  <c r="V43" i="4" s="1"/>
  <c r="T35" i="4"/>
  <c r="T43" i="4" s="1"/>
  <c r="S35" i="4"/>
  <c r="S43" i="4" s="1"/>
  <c r="Q35" i="4"/>
  <c r="P35" i="4"/>
  <c r="P43" i="4" s="1"/>
  <c r="N35" i="4"/>
  <c r="N43" i="4" s="1"/>
  <c r="M35" i="4"/>
  <c r="M43" i="4" s="1"/>
  <c r="K35" i="4"/>
  <c r="K43" i="4" s="1"/>
  <c r="J35" i="4"/>
  <c r="J43" i="4" s="1"/>
  <c r="H35" i="4"/>
  <c r="H43" i="4" s="1"/>
  <c r="G35" i="4"/>
  <c r="G43" i="4" s="1"/>
  <c r="E35" i="4"/>
  <c r="D35" i="4"/>
  <c r="D43" i="4" s="1"/>
  <c r="B35" i="4"/>
  <c r="B43" i="4" s="1"/>
  <c r="AE34" i="4"/>
  <c r="AE42" i="4" s="1"/>
  <c r="AC34" i="4"/>
  <c r="AC42" i="4" s="1"/>
  <c r="AB34" i="4"/>
  <c r="AB42" i="4" s="1"/>
  <c r="Z34" i="4"/>
  <c r="Z42" i="4" s="1"/>
  <c r="Y34" i="4"/>
  <c r="Y42" i="4" s="1"/>
  <c r="W34" i="4"/>
  <c r="V34" i="4"/>
  <c r="V42" i="4" s="1"/>
  <c r="T34" i="4"/>
  <c r="T42" i="4" s="1"/>
  <c r="S34" i="4"/>
  <c r="S42" i="4" s="1"/>
  <c r="Q34" i="4"/>
  <c r="Q42" i="4" s="1"/>
  <c r="P34" i="4"/>
  <c r="P42" i="4" s="1"/>
  <c r="N34" i="4"/>
  <c r="N42" i="4" s="1"/>
  <c r="M34" i="4"/>
  <c r="M42" i="4" s="1"/>
  <c r="K34" i="4"/>
  <c r="J34" i="4"/>
  <c r="J42" i="4" s="1"/>
  <c r="H34" i="4"/>
  <c r="H42" i="4" s="1"/>
  <c r="G34" i="4"/>
  <c r="G42" i="4" s="1"/>
  <c r="E34" i="4"/>
  <c r="E42" i="4" s="1"/>
  <c r="D34" i="4"/>
  <c r="D42" i="4" s="1"/>
  <c r="B34" i="4"/>
  <c r="B42" i="4" s="1"/>
  <c r="AE33" i="4"/>
  <c r="AE41" i="4" s="1"/>
  <c r="AC33" i="4"/>
  <c r="AB33" i="4"/>
  <c r="AB41" i="4" s="1"/>
  <c r="Z33" i="4"/>
  <c r="Z41" i="4" s="1"/>
  <c r="Y33" i="4"/>
  <c r="Y41" i="4" s="1"/>
  <c r="W33" i="4"/>
  <c r="W41" i="4" s="1"/>
  <c r="V33" i="4"/>
  <c r="V41" i="4" s="1"/>
  <c r="T33" i="4"/>
  <c r="T41" i="4" s="1"/>
  <c r="S33" i="4"/>
  <c r="S41" i="4" s="1"/>
  <c r="Q33" i="4"/>
  <c r="P33" i="4"/>
  <c r="P41" i="4" s="1"/>
  <c r="N33" i="4"/>
  <c r="N41" i="4" s="1"/>
  <c r="M33" i="4"/>
  <c r="M41" i="4" s="1"/>
  <c r="K33" i="4"/>
  <c r="K41" i="4" s="1"/>
  <c r="J33" i="4"/>
  <c r="J41" i="4" s="1"/>
  <c r="H33" i="4"/>
  <c r="H41" i="4" s="1"/>
  <c r="G33" i="4"/>
  <c r="G41" i="4" s="1"/>
  <c r="E33" i="4"/>
  <c r="D33" i="4"/>
  <c r="D41" i="4" s="1"/>
  <c r="B33" i="4"/>
  <c r="B41" i="4" s="1"/>
  <c r="AE32" i="4"/>
  <c r="AE40" i="4" s="1"/>
  <c r="AC32" i="4"/>
  <c r="AC40" i="4" s="1"/>
  <c r="AB32" i="4"/>
  <c r="AB40" i="4" s="1"/>
  <c r="Z32" i="4"/>
  <c r="Z40" i="4" s="1"/>
  <c r="Y32" i="4"/>
  <c r="Y40" i="4" s="1"/>
  <c r="W32" i="4"/>
  <c r="V32" i="4"/>
  <c r="V40" i="4" s="1"/>
  <c r="T32" i="4"/>
  <c r="T40" i="4" s="1"/>
  <c r="S32" i="4"/>
  <c r="S40" i="4" s="1"/>
  <c r="Q32" i="4"/>
  <c r="Q40" i="4" s="1"/>
  <c r="P32" i="4"/>
  <c r="P40" i="4" s="1"/>
  <c r="N32" i="4"/>
  <c r="N40" i="4" s="1"/>
  <c r="M32" i="4"/>
  <c r="M40" i="4" s="1"/>
  <c r="K32" i="4"/>
  <c r="K40" i="4" s="1"/>
  <c r="J32" i="4"/>
  <c r="J40" i="4" s="1"/>
  <c r="H32" i="4"/>
  <c r="H40" i="4" s="1"/>
  <c r="G32" i="4"/>
  <c r="G40" i="4" s="1"/>
  <c r="E32" i="4"/>
  <c r="E40" i="4" s="1"/>
  <c r="D32" i="4"/>
  <c r="D40" i="4" s="1"/>
  <c r="B32" i="4"/>
  <c r="B40" i="4" s="1"/>
  <c r="AE31" i="4"/>
  <c r="AE36" i="4" s="1"/>
  <c r="AC31" i="4"/>
  <c r="AC36" i="4" s="1"/>
  <c r="AB31" i="4"/>
  <c r="AB39" i="4" s="1"/>
  <c r="Z31" i="4"/>
  <c r="Z36" i="4" s="1"/>
  <c r="Y31" i="4"/>
  <c r="Y36" i="4" s="1"/>
  <c r="W31" i="4"/>
  <c r="W36" i="4" s="1"/>
  <c r="V31" i="4"/>
  <c r="V39" i="4" s="1"/>
  <c r="T31" i="4"/>
  <c r="T36" i="4" s="1"/>
  <c r="S31" i="4"/>
  <c r="S36" i="4" s="1"/>
  <c r="Q31" i="4"/>
  <c r="Q64" i="4" s="1"/>
  <c r="P31" i="4"/>
  <c r="P36" i="4" s="1"/>
  <c r="N31" i="4"/>
  <c r="N66" i="4" s="1"/>
  <c r="M31" i="4"/>
  <c r="M66" i="4" s="1"/>
  <c r="K31" i="4"/>
  <c r="K64" i="4" s="1"/>
  <c r="J31" i="4"/>
  <c r="J67" i="4" s="1"/>
  <c r="H31" i="4"/>
  <c r="H36" i="4" s="1"/>
  <c r="G31" i="4"/>
  <c r="G36" i="4" s="1"/>
  <c r="E31" i="4"/>
  <c r="E64" i="4" s="1"/>
  <c r="D31" i="4"/>
  <c r="D39" i="4" s="1"/>
  <c r="B31" i="4"/>
  <c r="B36" i="4" s="1"/>
  <c r="AE30" i="4"/>
  <c r="AC30" i="4"/>
  <c r="AB30" i="4"/>
  <c r="Z30" i="4"/>
  <c r="Y30" i="4"/>
  <c r="W30" i="4"/>
  <c r="V30" i="4"/>
  <c r="T30" i="4"/>
  <c r="S30" i="4"/>
  <c r="AL24" i="4" s="1"/>
  <c r="Q30" i="4"/>
  <c r="P30" i="4"/>
  <c r="N30" i="4"/>
  <c r="M30" i="4"/>
  <c r="K30" i="4"/>
  <c r="J30" i="4"/>
  <c r="H30" i="4"/>
  <c r="G30" i="4"/>
  <c r="AH24" i="4" s="1"/>
  <c r="E30" i="4"/>
  <c r="D30" i="4"/>
  <c r="B30" i="4"/>
  <c r="AD29" i="4"/>
  <c r="AA29" i="4"/>
  <c r="X29" i="4"/>
  <c r="U29" i="4"/>
  <c r="R29" i="4"/>
  <c r="O29" i="4"/>
  <c r="L29" i="4"/>
  <c r="I29" i="4"/>
  <c r="F29" i="4"/>
  <c r="A29" i="4"/>
  <c r="AP28" i="4"/>
  <c r="AO28" i="4"/>
  <c r="AN28" i="4"/>
  <c r="AM28" i="4"/>
  <c r="AL28" i="4"/>
  <c r="AK28" i="4"/>
  <c r="AJ28" i="4"/>
  <c r="AI28" i="4"/>
  <c r="AH28" i="4"/>
  <c r="AG28" i="4"/>
  <c r="AF28" i="4"/>
  <c r="AD28" i="4"/>
  <c r="AA28" i="4"/>
  <c r="X28" i="4"/>
  <c r="U28" i="4"/>
  <c r="R28" i="4"/>
  <c r="O28" i="4"/>
  <c r="L28" i="4"/>
  <c r="I28" i="4"/>
  <c r="F28" i="4"/>
  <c r="A28" i="4"/>
  <c r="AP27" i="4"/>
  <c r="AO27" i="4"/>
  <c r="AN27" i="4"/>
  <c r="AM27" i="4"/>
  <c r="AL27" i="4"/>
  <c r="AJ27" i="4"/>
  <c r="AG27" i="4"/>
  <c r="AF27" i="4"/>
  <c r="AD27" i="4"/>
  <c r="AA27" i="4"/>
  <c r="X27" i="4"/>
  <c r="U27" i="4"/>
  <c r="R27" i="4"/>
  <c r="O27" i="4"/>
  <c r="L27" i="4"/>
  <c r="I27" i="4"/>
  <c r="F27" i="4"/>
  <c r="A27" i="4"/>
  <c r="AP26" i="4"/>
  <c r="AO26" i="4"/>
  <c r="AN26" i="4"/>
  <c r="AM26" i="4"/>
  <c r="AL26" i="4"/>
  <c r="AI26" i="4"/>
  <c r="AH26" i="4"/>
  <c r="AF26" i="4"/>
  <c r="AD26" i="4"/>
  <c r="AA26" i="4"/>
  <c r="X26" i="4"/>
  <c r="U26" i="4"/>
  <c r="R26" i="4"/>
  <c r="O26" i="4"/>
  <c r="L26" i="4"/>
  <c r="I26" i="4"/>
  <c r="F26" i="4"/>
  <c r="A26" i="4"/>
  <c r="AP25" i="4"/>
  <c r="AO25" i="4"/>
  <c r="AN25" i="4"/>
  <c r="AM25" i="4"/>
  <c r="AK25" i="4"/>
  <c r="AJ25" i="4"/>
  <c r="AH25" i="4"/>
  <c r="AF25" i="4"/>
  <c r="AD25" i="4"/>
  <c r="AA25" i="4"/>
  <c r="X25" i="4"/>
  <c r="U25" i="4"/>
  <c r="AP24" i="4"/>
  <c r="AO24" i="4"/>
  <c r="AN24" i="4"/>
  <c r="AM24" i="4"/>
  <c r="AK24" i="4"/>
  <c r="AI24" i="4"/>
  <c r="AG24" i="4"/>
  <c r="AF24" i="4"/>
  <c r="AD24" i="4"/>
  <c r="AA24" i="4"/>
  <c r="X24" i="4"/>
  <c r="U24" i="4"/>
  <c r="R24" i="4"/>
  <c r="O24" i="4"/>
  <c r="L24" i="4"/>
  <c r="I24" i="4"/>
  <c r="F24" i="4"/>
  <c r="AC22" i="4"/>
  <c r="Z22" i="4"/>
  <c r="W22" i="4"/>
  <c r="T22" i="4"/>
  <c r="Q22" i="4"/>
  <c r="N22" i="4"/>
  <c r="K22" i="4"/>
  <c r="H22" i="4"/>
  <c r="E22" i="4"/>
  <c r="E17" i="4"/>
  <c r="E16" i="4"/>
  <c r="B83" i="4" s="1"/>
  <c r="AT83" i="4" s="1"/>
  <c r="A16" i="4"/>
  <c r="E15" i="4"/>
  <c r="E14" i="4"/>
  <c r="B82" i="4" s="1"/>
  <c r="A14" i="4"/>
  <c r="E13" i="4"/>
  <c r="E12" i="4"/>
  <c r="A12" i="4"/>
  <c r="AW11" i="4"/>
  <c r="E11" i="4"/>
  <c r="E10" i="4"/>
  <c r="B80" i="4" s="1"/>
  <c r="A10" i="4"/>
  <c r="E9" i="4"/>
  <c r="E8" i="4"/>
  <c r="A8" i="4"/>
  <c r="R7" i="4"/>
  <c r="L7" i="4"/>
  <c r="K6" i="4"/>
  <c r="AW3" i="4"/>
  <c r="AH112" i="5" l="1"/>
  <c r="AJ111" i="5"/>
  <c r="AL110" i="5"/>
  <c r="D121" i="5"/>
  <c r="AG110" i="5"/>
  <c r="AG111" i="5"/>
  <c r="AG25" i="5"/>
  <c r="AK27" i="5"/>
  <c r="AI27" i="5"/>
  <c r="AI25" i="5"/>
  <c r="E36" i="5"/>
  <c r="J39" i="5"/>
  <c r="AH27" i="5"/>
  <c r="AQ27" i="5" s="1"/>
  <c r="W14" i="5" s="1"/>
  <c r="AL25" i="5"/>
  <c r="K39" i="5"/>
  <c r="K44" i="5" s="1"/>
  <c r="AH109" i="5"/>
  <c r="AQ109" i="5" s="1"/>
  <c r="W93" i="5" s="1"/>
  <c r="B124" i="5"/>
  <c r="Z124" i="5"/>
  <c r="AF147" i="5"/>
  <c r="Z101" i="5" s="1"/>
  <c r="X156" i="5"/>
  <c r="AD156" i="5"/>
  <c r="M151" i="5"/>
  <c r="Y124" i="5"/>
  <c r="Y36" i="5"/>
  <c r="AB39" i="5"/>
  <c r="U71" i="5"/>
  <c r="AF68" i="5"/>
  <c r="AF76" i="5"/>
  <c r="AC16" i="5" s="1"/>
  <c r="AK111" i="5"/>
  <c r="AQ111" i="5" s="1"/>
  <c r="W97" i="5" s="1"/>
  <c r="V121" i="5"/>
  <c r="T122" i="5" s="1"/>
  <c r="H124" i="5"/>
  <c r="U156" i="5"/>
  <c r="AA156" i="5"/>
  <c r="G152" i="5"/>
  <c r="D39" i="5"/>
  <c r="AF62" i="5"/>
  <c r="Z16" i="5" s="1"/>
  <c r="N66" i="5"/>
  <c r="J67" i="5"/>
  <c r="P67" i="5"/>
  <c r="AQ113" i="5"/>
  <c r="W101" i="5" s="1"/>
  <c r="AJ109" i="5"/>
  <c r="AB121" i="5"/>
  <c r="Z122" i="5" s="1"/>
  <c r="T124" i="5"/>
  <c r="G39" i="4"/>
  <c r="AC39" i="4"/>
  <c r="AI112" i="4"/>
  <c r="AQ112" i="4" s="1"/>
  <c r="W99" i="4" s="1"/>
  <c r="V124" i="4"/>
  <c r="U156" i="4"/>
  <c r="T124" i="4"/>
  <c r="T129" i="4" s="1"/>
  <c r="AG26" i="4"/>
  <c r="AI27" i="4"/>
  <c r="AK26" i="4"/>
  <c r="S39" i="4"/>
  <c r="AE39" i="4"/>
  <c r="AC44" i="4" s="1"/>
  <c r="Z124" i="4"/>
  <c r="AA156" i="4"/>
  <c r="Y39" i="4"/>
  <c r="AQ28" i="4"/>
  <c r="W16" i="4" s="1"/>
  <c r="AJ24" i="4"/>
  <c r="L71" i="4"/>
  <c r="W37" i="4"/>
  <c r="AC37" i="4"/>
  <c r="AD37" i="4" s="1"/>
  <c r="W39" i="4"/>
  <c r="AF50" i="4"/>
  <c r="L16" i="4" s="1"/>
  <c r="AF56" i="4"/>
  <c r="AF62" i="4"/>
  <c r="Z16" i="4" s="1"/>
  <c r="AD71" i="4"/>
  <c r="AK111" i="4"/>
  <c r="Y122" i="4"/>
  <c r="AB124" i="4"/>
  <c r="X156" i="4"/>
  <c r="AD156" i="4"/>
  <c r="J124" i="4"/>
  <c r="O156" i="4"/>
  <c r="P160" i="4" s="1"/>
  <c r="AQ113" i="4"/>
  <c r="W101" i="4" s="1"/>
  <c r="B124" i="4"/>
  <c r="N124" i="4"/>
  <c r="E149" i="4"/>
  <c r="K149" i="4"/>
  <c r="L156" i="4" s="1"/>
  <c r="M159" i="4" s="1"/>
  <c r="Q149" i="4"/>
  <c r="D124" i="4"/>
  <c r="P124" i="4"/>
  <c r="H124" i="4"/>
  <c r="AF135" i="4"/>
  <c r="L101" i="4" s="1"/>
  <c r="AF141" i="4"/>
  <c r="AG135" i="4" s="1"/>
  <c r="R101" i="4" s="1"/>
  <c r="AG25" i="4"/>
  <c r="E39" i="4"/>
  <c r="E44" i="4" s="1"/>
  <c r="Q39" i="4"/>
  <c r="Q44" i="4" s="1"/>
  <c r="S65" i="4"/>
  <c r="AF68" i="4"/>
  <c r="AF76" i="4"/>
  <c r="K39" i="4"/>
  <c r="AQ24" i="4"/>
  <c r="W8" i="4" s="1"/>
  <c r="G67" i="4"/>
  <c r="F71" i="4" s="1"/>
  <c r="T171" i="5"/>
  <c r="T172" i="5" s="1"/>
  <c r="R71" i="4"/>
  <c r="S73" i="4" s="1"/>
  <c r="AK27" i="4"/>
  <c r="AH27" i="4"/>
  <c r="AQ27" i="4" s="1"/>
  <c r="W14" i="4" s="1"/>
  <c r="AJ26" i="4"/>
  <c r="AL25" i="4"/>
  <c r="M39" i="4"/>
  <c r="C82" i="4"/>
  <c r="D82" i="4" s="1"/>
  <c r="G85" i="4" s="1"/>
  <c r="B79" i="4"/>
  <c r="AT79" i="4" s="1"/>
  <c r="B81" i="4"/>
  <c r="AT81" i="4" s="1"/>
  <c r="Y37" i="4"/>
  <c r="X37" i="4" s="1"/>
  <c r="AE37" i="4"/>
  <c r="N159" i="4"/>
  <c r="C80" i="4"/>
  <c r="B85" i="4" s="1"/>
  <c r="AT80" i="4"/>
  <c r="AC16" i="4"/>
  <c r="AG68" i="4"/>
  <c r="AQ111" i="4"/>
  <c r="W97" i="4" s="1"/>
  <c r="V122" i="4"/>
  <c r="U122" i="4" s="1"/>
  <c r="AB122" i="4"/>
  <c r="AA122" i="4" s="1"/>
  <c r="M74" i="4"/>
  <c r="K72" i="4"/>
  <c r="AG50" i="4"/>
  <c r="R16" i="4" s="1"/>
  <c r="AF64" i="4"/>
  <c r="AQ110" i="4"/>
  <c r="W95" i="4" s="1"/>
  <c r="W122" i="4"/>
  <c r="X122" i="4" s="1"/>
  <c r="D36" i="4"/>
  <c r="B37" i="4" s="1"/>
  <c r="AB36" i="4"/>
  <c r="AB37" i="4" s="1"/>
  <c r="D66" i="4"/>
  <c r="AF66" i="4" s="1"/>
  <c r="E36" i="4"/>
  <c r="E37" i="4" s="1"/>
  <c r="K36" i="4"/>
  <c r="Q36" i="4"/>
  <c r="B39" i="4"/>
  <c r="B44" i="4" s="1"/>
  <c r="H39" i="4"/>
  <c r="N39" i="4"/>
  <c r="T39" i="4"/>
  <c r="T44" i="4" s="1"/>
  <c r="Z39" i="4"/>
  <c r="Z44" i="4" s="1"/>
  <c r="B65" i="4"/>
  <c r="H65" i="4"/>
  <c r="I71" i="4" s="1"/>
  <c r="C83" i="4"/>
  <c r="D83" i="4" s="1"/>
  <c r="G83" i="4" s="1"/>
  <c r="J83" i="4" s="1"/>
  <c r="M83" i="4" s="1"/>
  <c r="P83" i="4" s="1"/>
  <c r="S83" i="4" s="1"/>
  <c r="V83" i="4" s="1"/>
  <c r="Y83" i="4" s="1"/>
  <c r="AB83" i="4" s="1"/>
  <c r="AE83" i="4" s="1"/>
  <c r="AU83" i="4" s="1"/>
  <c r="Y86" i="4"/>
  <c r="Y87" i="4" s="1"/>
  <c r="AE86" i="4"/>
  <c r="AE87" i="4" s="1"/>
  <c r="B121" i="4"/>
  <c r="H121" i="4"/>
  <c r="N121" i="4"/>
  <c r="E124" i="4"/>
  <c r="K124" i="4"/>
  <c r="Q124" i="4"/>
  <c r="W124" i="4"/>
  <c r="AC124" i="4"/>
  <c r="AC129" i="4" s="1"/>
  <c r="D151" i="4"/>
  <c r="C156" i="4" s="1"/>
  <c r="W44" i="5"/>
  <c r="J36" i="4"/>
  <c r="V36" i="4"/>
  <c r="V37" i="4" s="1"/>
  <c r="AC86" i="4"/>
  <c r="AC87" i="4" s="1"/>
  <c r="S121" i="4"/>
  <c r="AE121" i="4"/>
  <c r="AC122" i="4" s="1"/>
  <c r="R156" i="4"/>
  <c r="M36" i="4"/>
  <c r="M37" i="4" s="1"/>
  <c r="M48" i="4" s="1"/>
  <c r="J39" i="4"/>
  <c r="P39" i="4"/>
  <c r="P67" i="4"/>
  <c r="AT82" i="4"/>
  <c r="T86" i="4"/>
  <c r="T87" i="4" s="1"/>
  <c r="Z86" i="4"/>
  <c r="Z87" i="4" s="1"/>
  <c r="AH109" i="4"/>
  <c r="AL109" i="4"/>
  <c r="J121" i="4"/>
  <c r="P121" i="4"/>
  <c r="G124" i="4"/>
  <c r="M124" i="4"/>
  <c r="S124" i="4"/>
  <c r="Y124" i="4"/>
  <c r="AF147" i="4"/>
  <c r="Z101" i="4" s="1"/>
  <c r="AF149" i="4"/>
  <c r="I156" i="4"/>
  <c r="G152" i="4"/>
  <c r="AF152" i="4" s="1"/>
  <c r="AF153" i="4"/>
  <c r="AF161" i="4"/>
  <c r="Y171" i="4"/>
  <c r="Y172" i="4" s="1"/>
  <c r="AT79" i="5"/>
  <c r="AT80" i="5"/>
  <c r="AJ24" i="5"/>
  <c r="AJ26" i="5"/>
  <c r="AQ26" i="5" s="1"/>
  <c r="W12" i="5" s="1"/>
  <c r="G67" i="5"/>
  <c r="G39" i="5"/>
  <c r="G36" i="5"/>
  <c r="M66" i="5"/>
  <c r="L71" i="5" s="1"/>
  <c r="M39" i="5"/>
  <c r="S65" i="5"/>
  <c r="R71" i="5" s="1"/>
  <c r="S39" i="5"/>
  <c r="S36" i="5"/>
  <c r="AE39" i="5"/>
  <c r="AE36" i="5"/>
  <c r="W86" i="4"/>
  <c r="W87" i="4" s="1"/>
  <c r="M121" i="4"/>
  <c r="M122" i="4" s="1"/>
  <c r="M133" i="4" s="1"/>
  <c r="AI25" i="4"/>
  <c r="N36" i="4"/>
  <c r="N37" i="4" s="1"/>
  <c r="AB86" i="4"/>
  <c r="B164" i="4"/>
  <c r="B165" i="4"/>
  <c r="B166" i="4"/>
  <c r="C167" i="4"/>
  <c r="D167" i="4" s="1"/>
  <c r="G170" i="4" s="1"/>
  <c r="AT167" i="4"/>
  <c r="M36" i="5"/>
  <c r="AF50" i="5"/>
  <c r="L16" i="5" s="1"/>
  <c r="D168" i="4"/>
  <c r="G168" i="4" s="1"/>
  <c r="J168" i="4" s="1"/>
  <c r="M168" i="4" s="1"/>
  <c r="P168" i="4" s="1"/>
  <c r="S168" i="4" s="1"/>
  <c r="V168" i="4" s="1"/>
  <c r="Y168" i="4" s="1"/>
  <c r="AB168" i="4" s="1"/>
  <c r="AE168" i="4" s="1"/>
  <c r="AU168" i="4" s="1"/>
  <c r="T171" i="4"/>
  <c r="T172" i="4" s="1"/>
  <c r="Z171" i="4"/>
  <c r="Z172" i="4" s="1"/>
  <c r="AT81" i="5"/>
  <c r="C83" i="5"/>
  <c r="D83" i="5" s="1"/>
  <c r="G83" i="5" s="1"/>
  <c r="J83" i="5" s="1"/>
  <c r="M83" i="5" s="1"/>
  <c r="P83" i="5" s="1"/>
  <c r="S83" i="5" s="1"/>
  <c r="V83" i="5" s="1"/>
  <c r="Y83" i="5" s="1"/>
  <c r="AB83" i="5" s="1"/>
  <c r="AE83" i="5" s="1"/>
  <c r="AU83" i="5" s="1"/>
  <c r="AT83" i="5"/>
  <c r="AQ28" i="5"/>
  <c r="W16" i="5" s="1"/>
  <c r="Q36" i="5"/>
  <c r="AC36" i="5"/>
  <c r="AC37" i="5" s="1"/>
  <c r="Q39" i="5"/>
  <c r="AF56" i="5"/>
  <c r="V171" i="4"/>
  <c r="V172" i="4" s="1"/>
  <c r="AB171" i="4"/>
  <c r="AB172" i="4" s="1"/>
  <c r="AB37" i="5"/>
  <c r="W171" i="4"/>
  <c r="W172" i="4" s="1"/>
  <c r="AC171" i="4"/>
  <c r="AC172" i="4" s="1"/>
  <c r="AH24" i="5"/>
  <c r="AL24" i="5"/>
  <c r="E64" i="5"/>
  <c r="E39" i="5"/>
  <c r="E44" i="5" s="1"/>
  <c r="AC44" i="5"/>
  <c r="K36" i="5"/>
  <c r="W36" i="5"/>
  <c r="W37" i="5" s="1"/>
  <c r="X71" i="5"/>
  <c r="AD71" i="5"/>
  <c r="AB122" i="5"/>
  <c r="AI112" i="5"/>
  <c r="AI110" i="5"/>
  <c r="AQ110" i="5" s="1"/>
  <c r="W95" i="5" s="1"/>
  <c r="D151" i="5"/>
  <c r="D124" i="5"/>
  <c r="J152" i="5"/>
  <c r="I156" i="5" s="1"/>
  <c r="J124" i="5"/>
  <c r="H129" i="5" s="1"/>
  <c r="J121" i="5"/>
  <c r="P124" i="5"/>
  <c r="AT166" i="5"/>
  <c r="AB171" i="5"/>
  <c r="AB172" i="5" s="1"/>
  <c r="B65" i="5"/>
  <c r="B39" i="5"/>
  <c r="H65" i="5"/>
  <c r="H39" i="5"/>
  <c r="H44" i="5" s="1"/>
  <c r="N44" i="5"/>
  <c r="Z44" i="5"/>
  <c r="B36" i="5"/>
  <c r="H36" i="5"/>
  <c r="N36" i="5"/>
  <c r="T36" i="5"/>
  <c r="T37" i="5" s="1"/>
  <c r="Z36" i="5"/>
  <c r="V39" i="5"/>
  <c r="T44" i="5" s="1"/>
  <c r="AA71" i="5"/>
  <c r="T86" i="5"/>
  <c r="T87" i="5" s="1"/>
  <c r="AT165" i="5"/>
  <c r="AT167" i="5"/>
  <c r="AT168" i="5"/>
  <c r="C168" i="5"/>
  <c r="D168" i="5" s="1"/>
  <c r="G168" i="5" s="1"/>
  <c r="J168" i="5" s="1"/>
  <c r="M168" i="5" s="1"/>
  <c r="P168" i="5" s="1"/>
  <c r="S168" i="5" s="1"/>
  <c r="V168" i="5" s="1"/>
  <c r="Y168" i="5" s="1"/>
  <c r="AB168" i="5" s="1"/>
  <c r="AE168" i="5" s="1"/>
  <c r="AU168" i="5" s="1"/>
  <c r="AK112" i="5"/>
  <c r="AQ112" i="5" s="1"/>
  <c r="W99" i="5" s="1"/>
  <c r="W129" i="5"/>
  <c r="AC129" i="5"/>
  <c r="P121" i="5"/>
  <c r="D36" i="5"/>
  <c r="P36" i="5"/>
  <c r="V122" i="5"/>
  <c r="U122" i="5" s="1"/>
  <c r="AB86" i="5"/>
  <c r="AB87" i="5" s="1"/>
  <c r="E124" i="5"/>
  <c r="E129" i="5" s="1"/>
  <c r="E149" i="5"/>
  <c r="K124" i="5"/>
  <c r="K129" i="5" s="1"/>
  <c r="K149" i="5"/>
  <c r="L156" i="5" s="1"/>
  <c r="Q124" i="5"/>
  <c r="Q149" i="5"/>
  <c r="R156" i="5" s="1"/>
  <c r="E121" i="5"/>
  <c r="K121" i="5"/>
  <c r="Q121" i="5"/>
  <c r="W121" i="5"/>
  <c r="W171" i="5" s="1"/>
  <c r="W172" i="5" s="1"/>
  <c r="AC121" i="5"/>
  <c r="S124" i="5"/>
  <c r="Z129" i="5"/>
  <c r="AF141" i="5"/>
  <c r="AF151" i="5"/>
  <c r="AC86" i="5"/>
  <c r="AC87" i="5" s="1"/>
  <c r="G121" i="5"/>
  <c r="M121" i="5"/>
  <c r="S121" i="5"/>
  <c r="AE121" i="5"/>
  <c r="T129" i="5"/>
  <c r="AF135" i="5"/>
  <c r="L101" i="5" s="1"/>
  <c r="O156" i="5"/>
  <c r="AF153" i="5"/>
  <c r="AF161" i="5"/>
  <c r="V171" i="5"/>
  <c r="V172" i="5" s="1"/>
  <c r="AE86" i="5"/>
  <c r="AE87" i="5" s="1"/>
  <c r="AF150" i="5"/>
  <c r="B121" i="5"/>
  <c r="H121" i="5"/>
  <c r="N121" i="5"/>
  <c r="N124" i="5"/>
  <c r="C156" i="5"/>
  <c r="Z171" i="5"/>
  <c r="Z172" i="5" s="1"/>
  <c r="E15" i="1"/>
  <c r="E14" i="1"/>
  <c r="E100" i="1"/>
  <c r="E99" i="1"/>
  <c r="R111" i="1"/>
  <c r="O111" i="1"/>
  <c r="L111" i="1"/>
  <c r="I111" i="1"/>
  <c r="F111" i="1"/>
  <c r="R109" i="1"/>
  <c r="O109" i="1"/>
  <c r="L109" i="1"/>
  <c r="I109" i="1"/>
  <c r="F109" i="1"/>
  <c r="Q107" i="1"/>
  <c r="N107" i="1"/>
  <c r="K107" i="1"/>
  <c r="H107" i="1"/>
  <c r="E107" i="1"/>
  <c r="R26" i="1"/>
  <c r="O26" i="1"/>
  <c r="L26" i="1"/>
  <c r="I26" i="1"/>
  <c r="F26" i="1"/>
  <c r="R24" i="1"/>
  <c r="O24" i="1"/>
  <c r="L24" i="1"/>
  <c r="I24" i="1"/>
  <c r="F24" i="1"/>
  <c r="Q22" i="1"/>
  <c r="N22" i="1"/>
  <c r="K22" i="1"/>
  <c r="H22" i="1"/>
  <c r="E22" i="1"/>
  <c r="R110" i="2"/>
  <c r="O110" i="2"/>
  <c r="L110" i="2"/>
  <c r="I110" i="2"/>
  <c r="F110" i="2"/>
  <c r="R109" i="2"/>
  <c r="O109" i="2"/>
  <c r="L109" i="2"/>
  <c r="I109" i="2"/>
  <c r="F109" i="2"/>
  <c r="Q107" i="2"/>
  <c r="N107" i="2"/>
  <c r="K107" i="2"/>
  <c r="H107" i="2"/>
  <c r="E107" i="2"/>
  <c r="R25" i="2"/>
  <c r="O25" i="2"/>
  <c r="L25" i="2"/>
  <c r="I25" i="2"/>
  <c r="F25" i="2"/>
  <c r="R24" i="2"/>
  <c r="O24" i="2"/>
  <c r="L24" i="2"/>
  <c r="I24" i="2"/>
  <c r="F24" i="2"/>
  <c r="Q22" i="2"/>
  <c r="N22" i="2"/>
  <c r="K22" i="2"/>
  <c r="H22" i="2"/>
  <c r="E22" i="2"/>
  <c r="E100" i="2"/>
  <c r="E99" i="2"/>
  <c r="B167" i="2" s="1"/>
  <c r="E15" i="2"/>
  <c r="E14" i="2"/>
  <c r="E98" i="2"/>
  <c r="R179" i="2" s="1"/>
  <c r="E97" i="2"/>
  <c r="E96" i="2"/>
  <c r="E95" i="2"/>
  <c r="E94" i="2"/>
  <c r="H179" i="2" s="1"/>
  <c r="E93" i="2"/>
  <c r="E13" i="2"/>
  <c r="E12" i="2"/>
  <c r="E11" i="2"/>
  <c r="H178" i="2" s="1"/>
  <c r="E10" i="2"/>
  <c r="E9" i="2"/>
  <c r="E8" i="2"/>
  <c r="E98" i="1"/>
  <c r="E97" i="1"/>
  <c r="B166" i="1" s="1"/>
  <c r="AT166" i="1" s="1"/>
  <c r="E96" i="1"/>
  <c r="E95" i="1"/>
  <c r="E94" i="1"/>
  <c r="E93" i="1"/>
  <c r="E13" i="1"/>
  <c r="E12" i="1"/>
  <c r="E11" i="1"/>
  <c r="E10" i="1"/>
  <c r="E9" i="1"/>
  <c r="E8" i="1"/>
  <c r="AW3" i="2"/>
  <c r="AL180" i="2"/>
  <c r="AF180" i="2"/>
  <c r="AB180" i="2"/>
  <c r="R180" i="2"/>
  <c r="L180" i="2"/>
  <c r="H180" i="2"/>
  <c r="AL179" i="2"/>
  <c r="AF179" i="2"/>
  <c r="AB179" i="2"/>
  <c r="V179" i="2"/>
  <c r="L179" i="2"/>
  <c r="B179" i="2"/>
  <c r="AL178" i="2"/>
  <c r="AF178" i="2"/>
  <c r="AB178" i="2"/>
  <c r="V178" i="2"/>
  <c r="B224" i="1" s="1"/>
  <c r="AT224" i="1" s="1"/>
  <c r="R178" i="2"/>
  <c r="L178" i="2"/>
  <c r="B178" i="2"/>
  <c r="AW11" i="2"/>
  <c r="A174" i="2"/>
  <c r="AE170" i="2"/>
  <c r="AE116" i="2"/>
  <c r="AE117" i="2"/>
  <c r="AE118" i="2"/>
  <c r="AE126" i="2" s="1"/>
  <c r="AE119" i="2"/>
  <c r="AE120" i="2"/>
  <c r="AC170" i="2"/>
  <c r="AC116" i="2"/>
  <c r="AC124" i="2" s="1"/>
  <c r="AC117" i="2"/>
  <c r="AC118" i="2"/>
  <c r="AC119" i="2"/>
  <c r="AC127" i="2" s="1"/>
  <c r="AC120" i="2"/>
  <c r="AB170" i="2"/>
  <c r="AB116" i="2"/>
  <c r="AB117" i="2"/>
  <c r="AB125" i="2" s="1"/>
  <c r="AB118" i="2"/>
  <c r="AB126" i="2" s="1"/>
  <c r="AB119" i="2"/>
  <c r="AB120" i="2"/>
  <c r="Z170" i="2"/>
  <c r="Z116" i="2"/>
  <c r="Z124" i="2" s="1"/>
  <c r="Z117" i="2"/>
  <c r="Z118" i="2"/>
  <c r="Z119" i="2"/>
  <c r="Z120" i="2"/>
  <c r="Y170" i="2"/>
  <c r="Y116" i="2"/>
  <c r="Y117" i="2"/>
  <c r="Y125" i="2" s="1"/>
  <c r="Y118" i="2"/>
  <c r="Y126" i="2" s="1"/>
  <c r="Y119" i="2"/>
  <c r="Y120" i="2"/>
  <c r="W170" i="2"/>
  <c r="W116" i="2"/>
  <c r="W124" i="2" s="1"/>
  <c r="W117" i="2"/>
  <c r="W118" i="2"/>
  <c r="W119" i="2"/>
  <c r="W120" i="2"/>
  <c r="W128" i="2" s="1"/>
  <c r="V170" i="2"/>
  <c r="V116" i="2"/>
  <c r="V117" i="2"/>
  <c r="V118" i="2"/>
  <c r="V126" i="2" s="1"/>
  <c r="V119" i="2"/>
  <c r="V120" i="2"/>
  <c r="T170" i="2"/>
  <c r="T116" i="2"/>
  <c r="T117" i="2"/>
  <c r="T118" i="2"/>
  <c r="T119" i="2"/>
  <c r="T127" i="2" s="1"/>
  <c r="T120" i="2"/>
  <c r="N149" i="2"/>
  <c r="P149" i="2"/>
  <c r="N116" i="2"/>
  <c r="N124" i="2" s="1"/>
  <c r="N150" i="2"/>
  <c r="P150" i="2"/>
  <c r="P116" i="2"/>
  <c r="P151" i="2"/>
  <c r="N152" i="2"/>
  <c r="N153" i="2"/>
  <c r="P153" i="2"/>
  <c r="N158" i="2"/>
  <c r="P158" i="2"/>
  <c r="K158" i="2"/>
  <c r="M158" i="2"/>
  <c r="H149" i="2"/>
  <c r="J149" i="2"/>
  <c r="H116" i="2"/>
  <c r="J150" i="2"/>
  <c r="H151" i="2"/>
  <c r="J151" i="2"/>
  <c r="H152" i="2"/>
  <c r="J116" i="2"/>
  <c r="H153" i="2"/>
  <c r="J153" i="2"/>
  <c r="H117" i="2"/>
  <c r="H118" i="2"/>
  <c r="H119" i="2"/>
  <c r="H127" i="2" s="1"/>
  <c r="H120" i="2"/>
  <c r="J117" i="2"/>
  <c r="J125" i="2" s="1"/>
  <c r="J118" i="2"/>
  <c r="J126" i="2" s="1"/>
  <c r="J119" i="2"/>
  <c r="J127" i="2" s="1"/>
  <c r="J120" i="2"/>
  <c r="J158" i="2"/>
  <c r="E116" i="2"/>
  <c r="G149" i="2"/>
  <c r="E117" i="2"/>
  <c r="E125" i="2" s="1"/>
  <c r="E118" i="2"/>
  <c r="E119" i="2"/>
  <c r="E127" i="2" s="1"/>
  <c r="E120" i="2"/>
  <c r="E128" i="2" s="1"/>
  <c r="E150" i="2"/>
  <c r="G150" i="2"/>
  <c r="E151" i="2"/>
  <c r="G116" i="2"/>
  <c r="G117" i="2"/>
  <c r="G118" i="2"/>
  <c r="G119" i="2"/>
  <c r="G127" i="2" s="1"/>
  <c r="G120" i="2"/>
  <c r="G151" i="2"/>
  <c r="E152" i="2"/>
  <c r="E153" i="2"/>
  <c r="G153" i="2"/>
  <c r="E158" i="2"/>
  <c r="B149" i="2"/>
  <c r="D149" i="2"/>
  <c r="B116" i="2"/>
  <c r="B124" i="2" s="1"/>
  <c r="D150" i="2"/>
  <c r="B151" i="2"/>
  <c r="D116" i="2"/>
  <c r="D124" i="2" s="1"/>
  <c r="B152" i="2"/>
  <c r="D152" i="2"/>
  <c r="B153" i="2"/>
  <c r="D153" i="2"/>
  <c r="D158" i="2"/>
  <c r="B165" i="2"/>
  <c r="B157" i="2"/>
  <c r="D157" i="2"/>
  <c r="B159" i="2"/>
  <c r="B117" i="2"/>
  <c r="B118" i="2"/>
  <c r="B119" i="2"/>
  <c r="B120" i="2"/>
  <c r="B128" i="2" s="1"/>
  <c r="D117" i="2"/>
  <c r="D118" i="2"/>
  <c r="D119" i="2"/>
  <c r="D120" i="2"/>
  <c r="D128" i="2" s="1"/>
  <c r="B166" i="2"/>
  <c r="B164" i="2"/>
  <c r="B160" i="2"/>
  <c r="D160" i="2"/>
  <c r="G158" i="2"/>
  <c r="E160" i="2"/>
  <c r="G157" i="2"/>
  <c r="K159" i="2"/>
  <c r="K116" i="2"/>
  <c r="M149" i="2"/>
  <c r="K150" i="2"/>
  <c r="M150" i="2"/>
  <c r="K151" i="2"/>
  <c r="M116" i="2"/>
  <c r="K152" i="2"/>
  <c r="M152" i="2"/>
  <c r="K153" i="2"/>
  <c r="M153" i="2"/>
  <c r="H159" i="2"/>
  <c r="J159" i="2"/>
  <c r="E159" i="2"/>
  <c r="G159" i="2"/>
  <c r="H157" i="2"/>
  <c r="J157" i="2"/>
  <c r="K160" i="2"/>
  <c r="M160" i="2"/>
  <c r="H160" i="2"/>
  <c r="S116" i="2"/>
  <c r="S150" i="2" s="1"/>
  <c r="S117" i="2"/>
  <c r="S118" i="2"/>
  <c r="S126" i="2" s="1"/>
  <c r="S119" i="2"/>
  <c r="S127" i="2" s="1"/>
  <c r="S120" i="2"/>
  <c r="S128" i="2" s="1"/>
  <c r="N157" i="2"/>
  <c r="P157" i="2"/>
  <c r="K117" i="2"/>
  <c r="K118" i="2"/>
  <c r="K126" i="2" s="1"/>
  <c r="K119" i="2"/>
  <c r="K120" i="2"/>
  <c r="K128" i="2" s="1"/>
  <c r="M117" i="2"/>
  <c r="M118" i="2"/>
  <c r="M126" i="2" s="1"/>
  <c r="M119" i="2"/>
  <c r="M120" i="2"/>
  <c r="M128" i="2" s="1"/>
  <c r="M157" i="2"/>
  <c r="Q116" i="2"/>
  <c r="Q121" i="2" s="1"/>
  <c r="Q117" i="2"/>
  <c r="Q118" i="2"/>
  <c r="Q119" i="2"/>
  <c r="Q120" i="2"/>
  <c r="Q128" i="2" s="1"/>
  <c r="P117" i="2"/>
  <c r="P118" i="2"/>
  <c r="P119" i="2"/>
  <c r="P127" i="2" s="1"/>
  <c r="P120" i="2"/>
  <c r="N117" i="2"/>
  <c r="N118" i="2"/>
  <c r="N119" i="2"/>
  <c r="N127" i="2" s="1"/>
  <c r="N120" i="2"/>
  <c r="AC161" i="2"/>
  <c r="AE161" i="2"/>
  <c r="Z161" i="2"/>
  <c r="AB161" i="2"/>
  <c r="W161" i="2"/>
  <c r="Y161" i="2"/>
  <c r="T161" i="2"/>
  <c r="V161" i="2"/>
  <c r="Q161" i="2"/>
  <c r="S161" i="2"/>
  <c r="N161" i="2"/>
  <c r="P161" i="2"/>
  <c r="K161" i="2"/>
  <c r="M161" i="2"/>
  <c r="H161" i="2"/>
  <c r="J161" i="2"/>
  <c r="E161" i="2"/>
  <c r="G161" i="2"/>
  <c r="B161" i="2"/>
  <c r="D161" i="2"/>
  <c r="E101" i="2"/>
  <c r="B168" i="2" s="1"/>
  <c r="AC160" i="2"/>
  <c r="AE160" i="2"/>
  <c r="Z160" i="2"/>
  <c r="AB160" i="2"/>
  <c r="W160" i="2"/>
  <c r="Y160" i="2"/>
  <c r="T160" i="2"/>
  <c r="V160" i="2"/>
  <c r="Q160" i="2"/>
  <c r="S160" i="2"/>
  <c r="N160" i="2"/>
  <c r="AC159" i="2"/>
  <c r="AE159" i="2"/>
  <c r="Z159" i="2"/>
  <c r="AB159" i="2"/>
  <c r="W159" i="2"/>
  <c r="Y159" i="2"/>
  <c r="T159" i="2"/>
  <c r="V159" i="2"/>
  <c r="Q159" i="2"/>
  <c r="S159" i="2"/>
  <c r="P159" i="2"/>
  <c r="AT166" i="2"/>
  <c r="AC158" i="2"/>
  <c r="AE158" i="2"/>
  <c r="Z158" i="2"/>
  <c r="AB158" i="2"/>
  <c r="W158" i="2"/>
  <c r="Y158" i="2"/>
  <c r="T158" i="2"/>
  <c r="V158" i="2"/>
  <c r="Q158" i="2"/>
  <c r="S149" i="2"/>
  <c r="Q150" i="2"/>
  <c r="Q151" i="2"/>
  <c r="S151" i="2"/>
  <c r="Q152" i="2"/>
  <c r="S152" i="2"/>
  <c r="Q153" i="2"/>
  <c r="S153" i="2"/>
  <c r="AT165" i="2"/>
  <c r="AC157" i="2"/>
  <c r="AE157" i="2"/>
  <c r="Z157" i="2"/>
  <c r="AB157" i="2"/>
  <c r="W157" i="2"/>
  <c r="Y157" i="2"/>
  <c r="T157" i="2"/>
  <c r="V157" i="2"/>
  <c r="S157" i="2"/>
  <c r="AT164" i="2"/>
  <c r="AC149" i="2"/>
  <c r="AD156" i="2" s="1"/>
  <c r="AE149" i="2"/>
  <c r="AC150" i="2"/>
  <c r="AE150" i="2"/>
  <c r="AC151" i="2"/>
  <c r="AE151" i="2"/>
  <c r="AC152" i="2"/>
  <c r="AE152" i="2"/>
  <c r="AC153" i="2"/>
  <c r="AE153" i="2"/>
  <c r="Z149" i="2"/>
  <c r="AB149" i="2"/>
  <c r="Z150" i="2"/>
  <c r="AB150" i="2"/>
  <c r="Z151" i="2"/>
  <c r="AB151" i="2"/>
  <c r="Z152" i="2"/>
  <c r="AB152" i="2"/>
  <c r="Z153" i="2"/>
  <c r="AB153" i="2"/>
  <c r="W149" i="2"/>
  <c r="Y149" i="2"/>
  <c r="W150" i="2"/>
  <c r="Y150" i="2"/>
  <c r="W151" i="2"/>
  <c r="Y151" i="2"/>
  <c r="W152" i="2"/>
  <c r="Y152" i="2"/>
  <c r="W153" i="2"/>
  <c r="Y153" i="2"/>
  <c r="T149" i="2"/>
  <c r="V149" i="2"/>
  <c r="T150" i="2"/>
  <c r="V150" i="2"/>
  <c r="T151" i="2"/>
  <c r="V151" i="2"/>
  <c r="T152" i="2"/>
  <c r="V152" i="2"/>
  <c r="T153" i="2"/>
  <c r="V153" i="2"/>
  <c r="B147" i="2"/>
  <c r="D147" i="2"/>
  <c r="E147" i="2"/>
  <c r="G147" i="2"/>
  <c r="H147" i="2"/>
  <c r="J147" i="2"/>
  <c r="K147" i="2"/>
  <c r="M147" i="2"/>
  <c r="N147" i="2"/>
  <c r="P147" i="2"/>
  <c r="Q147" i="2"/>
  <c r="S147" i="2"/>
  <c r="T147" i="2"/>
  <c r="V147" i="2"/>
  <c r="W147" i="2"/>
  <c r="Y147" i="2"/>
  <c r="Z147" i="2"/>
  <c r="AB147" i="2"/>
  <c r="AC147" i="2"/>
  <c r="AE147" i="2"/>
  <c r="B146" i="2"/>
  <c r="D146" i="2"/>
  <c r="E146" i="2"/>
  <c r="E124" i="2"/>
  <c r="G124" i="2"/>
  <c r="H146" i="2"/>
  <c r="H124" i="2"/>
  <c r="K146" i="2"/>
  <c r="M146" i="2"/>
  <c r="N146" i="2"/>
  <c r="N125" i="2"/>
  <c r="P125" i="2"/>
  <c r="N128" i="2"/>
  <c r="P128" i="2"/>
  <c r="Q146" i="2"/>
  <c r="S146" i="2"/>
  <c r="T146" i="2"/>
  <c r="V146" i="2"/>
  <c r="W146" i="2"/>
  <c r="Y146" i="2"/>
  <c r="Z146" i="2"/>
  <c r="AB146" i="2"/>
  <c r="AC146" i="2"/>
  <c r="AE146" i="2"/>
  <c r="B145" i="2"/>
  <c r="B125" i="2"/>
  <c r="D125" i="2"/>
  <c r="B126" i="2"/>
  <c r="D126" i="2"/>
  <c r="B127" i="2"/>
  <c r="D127" i="2"/>
  <c r="E145" i="2"/>
  <c r="E126" i="2"/>
  <c r="G126" i="2"/>
  <c r="G128" i="2"/>
  <c r="G145" i="2"/>
  <c r="H145" i="2"/>
  <c r="J145" i="2"/>
  <c r="K145" i="2"/>
  <c r="K124" i="2"/>
  <c r="M124" i="2"/>
  <c r="K125" i="2"/>
  <c r="M125" i="2"/>
  <c r="K127" i="2"/>
  <c r="M127" i="2"/>
  <c r="P145" i="2"/>
  <c r="Q145" i="2"/>
  <c r="S145" i="2"/>
  <c r="T145" i="2"/>
  <c r="V145" i="2"/>
  <c r="W145" i="2"/>
  <c r="Y145" i="2"/>
  <c r="Z145" i="2"/>
  <c r="AB145" i="2"/>
  <c r="AC145" i="2"/>
  <c r="AE145" i="2"/>
  <c r="D144" i="2"/>
  <c r="E144" i="2"/>
  <c r="G144" i="2"/>
  <c r="H126" i="2"/>
  <c r="H128" i="2"/>
  <c r="J128" i="2"/>
  <c r="J144" i="2"/>
  <c r="K144" i="2"/>
  <c r="M144" i="2"/>
  <c r="N144" i="2"/>
  <c r="P144" i="2"/>
  <c r="Q144" i="2"/>
  <c r="Q124" i="2"/>
  <c r="S125" i="2"/>
  <c r="Q126" i="2"/>
  <c r="Q127" i="2"/>
  <c r="T144" i="2"/>
  <c r="V144" i="2"/>
  <c r="W144" i="2"/>
  <c r="Y144" i="2"/>
  <c r="Z144" i="2"/>
  <c r="AB144" i="2"/>
  <c r="AC144" i="2"/>
  <c r="AE144" i="2"/>
  <c r="B143" i="2"/>
  <c r="D143" i="2"/>
  <c r="G143" i="2"/>
  <c r="H143" i="2"/>
  <c r="J143" i="2"/>
  <c r="M143" i="2"/>
  <c r="N143" i="2"/>
  <c r="P143" i="2"/>
  <c r="S143" i="2"/>
  <c r="T143" i="2"/>
  <c r="V143" i="2"/>
  <c r="W143" i="2"/>
  <c r="Y143" i="2"/>
  <c r="Z143" i="2"/>
  <c r="AB143" i="2"/>
  <c r="AC143" i="2"/>
  <c r="AE143" i="2"/>
  <c r="B141" i="2"/>
  <c r="D141" i="2"/>
  <c r="E141" i="2"/>
  <c r="G141" i="2"/>
  <c r="H141" i="2"/>
  <c r="J141" i="2"/>
  <c r="K141" i="2"/>
  <c r="M141" i="2"/>
  <c r="N141" i="2"/>
  <c r="P141" i="2"/>
  <c r="Q141" i="2"/>
  <c r="S141" i="2"/>
  <c r="T141" i="2"/>
  <c r="V141" i="2"/>
  <c r="W141" i="2"/>
  <c r="Y141" i="2"/>
  <c r="Z141" i="2"/>
  <c r="AB141" i="2"/>
  <c r="AC141" i="2"/>
  <c r="AE141" i="2"/>
  <c r="B140" i="2"/>
  <c r="D140" i="2"/>
  <c r="E140" i="2"/>
  <c r="H140" i="2"/>
  <c r="K140" i="2"/>
  <c r="M140" i="2"/>
  <c r="N140" i="2"/>
  <c r="Q140" i="2"/>
  <c r="S140" i="2"/>
  <c r="T140" i="2"/>
  <c r="V140" i="2"/>
  <c r="W140" i="2"/>
  <c r="Y140" i="2"/>
  <c r="Z140" i="2"/>
  <c r="AB140" i="2"/>
  <c r="AC140" i="2"/>
  <c r="AE140" i="2"/>
  <c r="B139" i="2"/>
  <c r="E139" i="2"/>
  <c r="G139" i="2"/>
  <c r="H139" i="2"/>
  <c r="J139" i="2"/>
  <c r="K139" i="2"/>
  <c r="P139" i="2"/>
  <c r="Q139" i="2"/>
  <c r="S139" i="2"/>
  <c r="T139" i="2"/>
  <c r="V139" i="2"/>
  <c r="W139" i="2"/>
  <c r="Y139" i="2"/>
  <c r="Z139" i="2"/>
  <c r="AB139" i="2"/>
  <c r="AC139" i="2"/>
  <c r="AE139" i="2"/>
  <c r="D138" i="2"/>
  <c r="E138" i="2"/>
  <c r="G138" i="2"/>
  <c r="J138" i="2"/>
  <c r="K138" i="2"/>
  <c r="M138" i="2"/>
  <c r="N138" i="2"/>
  <c r="P138" i="2"/>
  <c r="Q138" i="2"/>
  <c r="T138" i="2"/>
  <c r="V138" i="2"/>
  <c r="W138" i="2"/>
  <c r="Y138" i="2"/>
  <c r="Z138" i="2"/>
  <c r="AB138" i="2"/>
  <c r="AC138" i="2"/>
  <c r="AE138" i="2"/>
  <c r="B137" i="2"/>
  <c r="D137" i="2"/>
  <c r="G137" i="2"/>
  <c r="H137" i="2"/>
  <c r="J137" i="2"/>
  <c r="M137" i="2"/>
  <c r="N137" i="2"/>
  <c r="P137" i="2"/>
  <c r="S137" i="2"/>
  <c r="T137" i="2"/>
  <c r="V137" i="2"/>
  <c r="W137" i="2"/>
  <c r="Y137" i="2"/>
  <c r="Z137" i="2"/>
  <c r="AB137" i="2"/>
  <c r="AC137" i="2"/>
  <c r="AE137" i="2"/>
  <c r="B135" i="2"/>
  <c r="D135" i="2"/>
  <c r="E135" i="2"/>
  <c r="G135" i="2"/>
  <c r="H135" i="2"/>
  <c r="J135" i="2"/>
  <c r="K135" i="2"/>
  <c r="M135" i="2"/>
  <c r="N135" i="2"/>
  <c r="P135" i="2"/>
  <c r="Q135" i="2"/>
  <c r="S135" i="2"/>
  <c r="T135" i="2"/>
  <c r="V135" i="2"/>
  <c r="W135" i="2"/>
  <c r="Y135" i="2"/>
  <c r="Z135" i="2"/>
  <c r="AB135" i="2"/>
  <c r="AC135" i="2"/>
  <c r="AE135" i="2"/>
  <c r="B134" i="2"/>
  <c r="D134" i="2"/>
  <c r="E134" i="2"/>
  <c r="H134" i="2"/>
  <c r="K134" i="2"/>
  <c r="M134" i="2"/>
  <c r="N134" i="2"/>
  <c r="Q134" i="2"/>
  <c r="S134" i="2"/>
  <c r="T134" i="2"/>
  <c r="V134" i="2"/>
  <c r="W134" i="2"/>
  <c r="Y134" i="2"/>
  <c r="Z134" i="2"/>
  <c r="AB134" i="2"/>
  <c r="AC134" i="2"/>
  <c r="AE134" i="2"/>
  <c r="B133" i="2"/>
  <c r="E133" i="2"/>
  <c r="G133" i="2"/>
  <c r="H133" i="2"/>
  <c r="J133" i="2"/>
  <c r="K133" i="2"/>
  <c r="P133" i="2"/>
  <c r="Q133" i="2"/>
  <c r="S133" i="2"/>
  <c r="T133" i="2"/>
  <c r="V133" i="2"/>
  <c r="W133" i="2"/>
  <c r="Y133" i="2"/>
  <c r="Z133" i="2"/>
  <c r="AB133" i="2"/>
  <c r="AC133" i="2"/>
  <c r="AE133" i="2"/>
  <c r="D132" i="2"/>
  <c r="E132" i="2"/>
  <c r="G132" i="2"/>
  <c r="J132" i="2"/>
  <c r="K132" i="2"/>
  <c r="M132" i="2"/>
  <c r="N132" i="2"/>
  <c r="P132" i="2"/>
  <c r="Q132" i="2"/>
  <c r="T132" i="2"/>
  <c r="V132" i="2"/>
  <c r="W132" i="2"/>
  <c r="Y132" i="2"/>
  <c r="Z132" i="2"/>
  <c r="AB132" i="2"/>
  <c r="AC132" i="2"/>
  <c r="AE132" i="2"/>
  <c r="B131" i="2"/>
  <c r="D131" i="2"/>
  <c r="G131" i="2"/>
  <c r="H131" i="2"/>
  <c r="J131" i="2"/>
  <c r="M131" i="2"/>
  <c r="N131" i="2"/>
  <c r="P131" i="2"/>
  <c r="S131" i="2"/>
  <c r="T131" i="2"/>
  <c r="V131" i="2"/>
  <c r="W131" i="2"/>
  <c r="Y131" i="2"/>
  <c r="Z131" i="2"/>
  <c r="AB131" i="2"/>
  <c r="AC131" i="2"/>
  <c r="AE131" i="2"/>
  <c r="AE124" i="2"/>
  <c r="AC125" i="2"/>
  <c r="AE125" i="2"/>
  <c r="AC126" i="2"/>
  <c r="AE127" i="2"/>
  <c r="AC128" i="2"/>
  <c r="AE128" i="2"/>
  <c r="AB124" i="2"/>
  <c r="Z125" i="2"/>
  <c r="Z126" i="2"/>
  <c r="AB127" i="2"/>
  <c r="Z128" i="2"/>
  <c r="AB128" i="2"/>
  <c r="Y124" i="2"/>
  <c r="W125" i="2"/>
  <c r="W126" i="2"/>
  <c r="W127" i="2"/>
  <c r="Y127" i="2"/>
  <c r="Y128" i="2"/>
  <c r="T124" i="2"/>
  <c r="V124" i="2"/>
  <c r="T125" i="2"/>
  <c r="V125" i="2"/>
  <c r="V127" i="2"/>
  <c r="T128" i="2"/>
  <c r="V128" i="2"/>
  <c r="AE115" i="2"/>
  <c r="AC115" i="2"/>
  <c r="AB115" i="2"/>
  <c r="Z115" i="2"/>
  <c r="Y115" i="2"/>
  <c r="W115" i="2"/>
  <c r="V115" i="2"/>
  <c r="T115" i="2"/>
  <c r="S115" i="2"/>
  <c r="Q115" i="2"/>
  <c r="AL109" i="2" s="1"/>
  <c r="P115" i="2"/>
  <c r="N115" i="2"/>
  <c r="M115" i="2"/>
  <c r="K115" i="2"/>
  <c r="J115" i="2"/>
  <c r="AI112" i="2" s="1"/>
  <c r="H115" i="2"/>
  <c r="G115" i="2"/>
  <c r="E115" i="2"/>
  <c r="D115" i="2"/>
  <c r="AG111" i="2" s="1"/>
  <c r="B115" i="2"/>
  <c r="AD114" i="2"/>
  <c r="AA114" i="2"/>
  <c r="X114" i="2"/>
  <c r="U114" i="2"/>
  <c r="R114" i="2"/>
  <c r="O114" i="2"/>
  <c r="L114" i="2"/>
  <c r="I114" i="2"/>
  <c r="F114" i="2"/>
  <c r="A114" i="2"/>
  <c r="AG113" i="2"/>
  <c r="AH113" i="2"/>
  <c r="AI113" i="2"/>
  <c r="AJ113" i="2"/>
  <c r="AK113" i="2"/>
  <c r="AL113" i="2"/>
  <c r="AM113" i="2"/>
  <c r="AN113" i="2"/>
  <c r="AO113" i="2"/>
  <c r="AP113" i="2"/>
  <c r="AF113" i="2"/>
  <c r="AD113" i="2"/>
  <c r="AA113" i="2"/>
  <c r="X113" i="2"/>
  <c r="U113" i="2"/>
  <c r="R113" i="2"/>
  <c r="O113" i="2"/>
  <c r="L113" i="2"/>
  <c r="I113" i="2"/>
  <c r="F113" i="2"/>
  <c r="A113" i="2"/>
  <c r="AG112" i="2"/>
  <c r="AJ112" i="2"/>
  <c r="AK112" i="2"/>
  <c r="AL112" i="2"/>
  <c r="AM112" i="2"/>
  <c r="AN112" i="2"/>
  <c r="AO112" i="2"/>
  <c r="AP112" i="2"/>
  <c r="AF112" i="2"/>
  <c r="AD112" i="2"/>
  <c r="AA112" i="2"/>
  <c r="X112" i="2"/>
  <c r="U112" i="2"/>
  <c r="R112" i="2"/>
  <c r="O112" i="2"/>
  <c r="L112" i="2"/>
  <c r="I112" i="2"/>
  <c r="F112" i="2"/>
  <c r="A112" i="2"/>
  <c r="AH111" i="2"/>
  <c r="AI111" i="2"/>
  <c r="AK111" i="2"/>
  <c r="AL111" i="2"/>
  <c r="AM111" i="2"/>
  <c r="AN111" i="2"/>
  <c r="AO111" i="2"/>
  <c r="AP111" i="2"/>
  <c r="AF111" i="2"/>
  <c r="AD111" i="2"/>
  <c r="AA111" i="2"/>
  <c r="X111" i="2"/>
  <c r="U111" i="2"/>
  <c r="R111" i="2"/>
  <c r="O111" i="2"/>
  <c r="L111" i="2"/>
  <c r="I111" i="2"/>
  <c r="F111" i="2"/>
  <c r="A111" i="2"/>
  <c r="AH110" i="2"/>
  <c r="AJ110" i="2"/>
  <c r="AK110" i="2"/>
  <c r="AM110" i="2"/>
  <c r="AN110" i="2"/>
  <c r="AO110" i="2"/>
  <c r="AP110" i="2"/>
  <c r="AF110" i="2"/>
  <c r="AD110" i="2"/>
  <c r="AA110" i="2"/>
  <c r="X110" i="2"/>
  <c r="U110" i="2"/>
  <c r="AG109" i="2"/>
  <c r="AI109" i="2"/>
  <c r="AK109" i="2"/>
  <c r="AM109" i="2"/>
  <c r="AN109" i="2"/>
  <c r="AO109" i="2"/>
  <c r="AP109" i="2"/>
  <c r="AF109" i="2"/>
  <c r="AD109" i="2"/>
  <c r="AA109" i="2"/>
  <c r="X109" i="2"/>
  <c r="U109" i="2"/>
  <c r="AC107" i="2"/>
  <c r="Z107" i="2"/>
  <c r="W107" i="2"/>
  <c r="T107" i="2"/>
  <c r="E102" i="2"/>
  <c r="A101" i="2"/>
  <c r="A99" i="2"/>
  <c r="A97" i="2"/>
  <c r="A95" i="2"/>
  <c r="A93" i="2"/>
  <c r="R92" i="2"/>
  <c r="L92" i="2"/>
  <c r="K91" i="2"/>
  <c r="A89" i="2"/>
  <c r="AE85" i="2"/>
  <c r="AE31" i="2"/>
  <c r="AE32" i="2"/>
  <c r="AE33" i="2"/>
  <c r="AE34" i="2"/>
  <c r="AE35" i="2"/>
  <c r="AE43" i="2" s="1"/>
  <c r="AC85" i="2"/>
  <c r="AC31" i="2"/>
  <c r="AC32" i="2"/>
  <c r="AC40" i="2" s="1"/>
  <c r="AC33" i="2"/>
  <c r="AC41" i="2" s="1"/>
  <c r="AC34" i="2"/>
  <c r="AC42" i="2" s="1"/>
  <c r="AC35" i="2"/>
  <c r="AB85" i="2"/>
  <c r="AB31" i="2"/>
  <c r="AB32" i="2"/>
  <c r="AB33" i="2"/>
  <c r="AB41" i="2" s="1"/>
  <c r="AB34" i="2"/>
  <c r="AB42" i="2" s="1"/>
  <c r="AB35" i="2"/>
  <c r="AB43" i="2" s="1"/>
  <c r="Z85" i="2"/>
  <c r="Z31" i="2"/>
  <c r="Z32" i="2"/>
  <c r="Z40" i="2" s="1"/>
  <c r="Z33" i="2"/>
  <c r="Z41" i="2" s="1"/>
  <c r="Z34" i="2"/>
  <c r="Z35" i="2"/>
  <c r="Y85" i="2"/>
  <c r="Y31" i="2"/>
  <c r="Y32" i="2"/>
  <c r="Y33" i="2"/>
  <c r="Y34" i="2"/>
  <c r="Y42" i="2" s="1"/>
  <c r="Y35" i="2"/>
  <c r="Y43" i="2" s="1"/>
  <c r="W85" i="2"/>
  <c r="W31" i="2"/>
  <c r="W39" i="2" s="1"/>
  <c r="W32" i="2"/>
  <c r="W40" i="2" s="1"/>
  <c r="W33" i="2"/>
  <c r="W36" i="2" s="1"/>
  <c r="W34" i="2"/>
  <c r="W35" i="2"/>
  <c r="V85" i="2"/>
  <c r="V31" i="2"/>
  <c r="V32" i="2"/>
  <c r="V33" i="2"/>
  <c r="V41" i="2" s="1"/>
  <c r="V34" i="2"/>
  <c r="V42" i="2" s="1"/>
  <c r="V35" i="2"/>
  <c r="T85" i="2"/>
  <c r="T31" i="2"/>
  <c r="T32" i="2"/>
  <c r="T40" i="2" s="1"/>
  <c r="T33" i="2"/>
  <c r="T34" i="2"/>
  <c r="T35" i="2"/>
  <c r="T43" i="2" s="1"/>
  <c r="N73" i="2"/>
  <c r="P73" i="2"/>
  <c r="K73" i="2"/>
  <c r="M73" i="2"/>
  <c r="H64" i="2"/>
  <c r="J64" i="2"/>
  <c r="H31" i="2"/>
  <c r="J65" i="2"/>
  <c r="H66" i="2"/>
  <c r="J66" i="2"/>
  <c r="H67" i="2"/>
  <c r="J31" i="2"/>
  <c r="H68" i="2"/>
  <c r="J68" i="2"/>
  <c r="E73" i="2"/>
  <c r="G73" i="2"/>
  <c r="B64" i="2"/>
  <c r="D64" i="2"/>
  <c r="B31" i="2"/>
  <c r="B39" i="2" s="1"/>
  <c r="D65" i="2"/>
  <c r="B66" i="2"/>
  <c r="D31" i="2"/>
  <c r="B67" i="2"/>
  <c r="D67" i="2"/>
  <c r="B68" i="2"/>
  <c r="D68" i="2"/>
  <c r="B80" i="2"/>
  <c r="AT80" i="2" s="1"/>
  <c r="B81" i="2"/>
  <c r="AT81" i="2" s="1"/>
  <c r="E75" i="2"/>
  <c r="E31" i="2"/>
  <c r="G64" i="2"/>
  <c r="E65" i="2"/>
  <c r="G65" i="2"/>
  <c r="E66" i="2"/>
  <c r="G66" i="2"/>
  <c r="E67" i="2"/>
  <c r="G31" i="2"/>
  <c r="E68" i="2"/>
  <c r="G68" i="2"/>
  <c r="B75" i="2"/>
  <c r="D75" i="2"/>
  <c r="B82" i="2"/>
  <c r="B72" i="2"/>
  <c r="D72" i="2"/>
  <c r="B79" i="2"/>
  <c r="C79" i="2" s="1"/>
  <c r="S31" i="2"/>
  <c r="S32" i="2"/>
  <c r="S36" i="2" s="1"/>
  <c r="S33" i="2"/>
  <c r="S41" i="2" s="1"/>
  <c r="S34" i="2"/>
  <c r="S35" i="2"/>
  <c r="S43" i="2" s="1"/>
  <c r="N72" i="2"/>
  <c r="P72" i="2"/>
  <c r="K31" i="2"/>
  <c r="M64" i="2"/>
  <c r="K65" i="2"/>
  <c r="M65" i="2"/>
  <c r="K66" i="2"/>
  <c r="M31" i="2"/>
  <c r="K67" i="2"/>
  <c r="M67" i="2"/>
  <c r="K68" i="2"/>
  <c r="M68" i="2"/>
  <c r="H72" i="2"/>
  <c r="J72" i="2"/>
  <c r="H74" i="2"/>
  <c r="J74" i="2"/>
  <c r="E74" i="2"/>
  <c r="G74" i="2"/>
  <c r="B74" i="2"/>
  <c r="Q31" i="2"/>
  <c r="Q39" i="2" s="1"/>
  <c r="Q32" i="2"/>
  <c r="Q33" i="2"/>
  <c r="Q41" i="2" s="1"/>
  <c r="Q34" i="2"/>
  <c r="Q35" i="2"/>
  <c r="Q43" i="2" s="1"/>
  <c r="K75" i="2"/>
  <c r="M75" i="2"/>
  <c r="H75" i="2"/>
  <c r="P31" i="2"/>
  <c r="P39" i="2" s="1"/>
  <c r="P32" i="2"/>
  <c r="P33" i="2"/>
  <c r="P34" i="2"/>
  <c r="P42" i="2" s="1"/>
  <c r="P35" i="2"/>
  <c r="K74" i="2"/>
  <c r="N31" i="2"/>
  <c r="N32" i="2"/>
  <c r="N33" i="2"/>
  <c r="N41" i="2" s="1"/>
  <c r="N34" i="2"/>
  <c r="N35" i="2"/>
  <c r="M32" i="2"/>
  <c r="M40" i="2" s="1"/>
  <c r="M33" i="2"/>
  <c r="M36" i="2" s="1"/>
  <c r="M34" i="2"/>
  <c r="M35" i="2"/>
  <c r="M43" i="2" s="1"/>
  <c r="K32" i="2"/>
  <c r="K33" i="2"/>
  <c r="K41" i="2" s="1"/>
  <c r="K34" i="2"/>
  <c r="K35" i="2"/>
  <c r="K43" i="2" s="1"/>
  <c r="E32" i="2"/>
  <c r="E40" i="2" s="1"/>
  <c r="E33" i="2"/>
  <c r="E34" i="2"/>
  <c r="E35" i="2"/>
  <c r="E43" i="2" s="1"/>
  <c r="G32" i="2"/>
  <c r="G33" i="2"/>
  <c r="G41" i="2" s="1"/>
  <c r="G34" i="2"/>
  <c r="G35" i="2"/>
  <c r="G43" i="2" s="1"/>
  <c r="D73" i="2"/>
  <c r="B32" i="2"/>
  <c r="B33" i="2"/>
  <c r="B34" i="2"/>
  <c r="B42" i="2" s="1"/>
  <c r="B35" i="2"/>
  <c r="B43" i="2" s="1"/>
  <c r="D32" i="2"/>
  <c r="D66" i="2" s="1"/>
  <c r="D33" i="2"/>
  <c r="D34" i="2"/>
  <c r="D42" i="2" s="1"/>
  <c r="D35" i="2"/>
  <c r="J32" i="2"/>
  <c r="J40" i="2" s="1"/>
  <c r="J33" i="2"/>
  <c r="J34" i="2"/>
  <c r="J42" i="2" s="1"/>
  <c r="J35" i="2"/>
  <c r="G72" i="2"/>
  <c r="H32" i="2"/>
  <c r="H33" i="2"/>
  <c r="H34" i="2"/>
  <c r="H42" i="2" s="1"/>
  <c r="H35" i="2"/>
  <c r="H43" i="2" s="1"/>
  <c r="AC76" i="2"/>
  <c r="AE76" i="2"/>
  <c r="Z76" i="2"/>
  <c r="AB76" i="2"/>
  <c r="W76" i="2"/>
  <c r="Y76" i="2"/>
  <c r="T76" i="2"/>
  <c r="V76" i="2"/>
  <c r="Q76" i="2"/>
  <c r="S76" i="2"/>
  <c r="N76" i="2"/>
  <c r="P76" i="2"/>
  <c r="K76" i="2"/>
  <c r="M76" i="2"/>
  <c r="H76" i="2"/>
  <c r="J76" i="2"/>
  <c r="E76" i="2"/>
  <c r="G76" i="2"/>
  <c r="B76" i="2"/>
  <c r="D76" i="2"/>
  <c r="E16" i="2"/>
  <c r="B83" i="2"/>
  <c r="AC75" i="2"/>
  <c r="AE75" i="2"/>
  <c r="Z75" i="2"/>
  <c r="AB75" i="2"/>
  <c r="W75" i="2"/>
  <c r="Y75" i="2"/>
  <c r="T75" i="2"/>
  <c r="V75" i="2"/>
  <c r="Q75" i="2"/>
  <c r="S75" i="2"/>
  <c r="N75" i="2"/>
  <c r="N64" i="2"/>
  <c r="P64" i="2"/>
  <c r="N65" i="2"/>
  <c r="P65" i="2"/>
  <c r="P66" i="2"/>
  <c r="N67" i="2"/>
  <c r="P67" i="2"/>
  <c r="N68" i="2"/>
  <c r="P68" i="2"/>
  <c r="AC74" i="2"/>
  <c r="AE74" i="2"/>
  <c r="Z74" i="2"/>
  <c r="AB74" i="2"/>
  <c r="W74" i="2"/>
  <c r="Y74" i="2"/>
  <c r="T74" i="2"/>
  <c r="V74" i="2"/>
  <c r="Q74" i="2"/>
  <c r="S74" i="2"/>
  <c r="P74" i="2"/>
  <c r="AC73" i="2"/>
  <c r="AE73" i="2"/>
  <c r="Z73" i="2"/>
  <c r="AB73" i="2"/>
  <c r="W73" i="2"/>
  <c r="Y73" i="2"/>
  <c r="T73" i="2"/>
  <c r="V73" i="2"/>
  <c r="Q73" i="2"/>
  <c r="S64" i="2"/>
  <c r="Q65" i="2"/>
  <c r="Q66" i="2"/>
  <c r="S66" i="2"/>
  <c r="Q67" i="2"/>
  <c r="S67" i="2"/>
  <c r="Q68" i="2"/>
  <c r="S68" i="2"/>
  <c r="J73" i="2"/>
  <c r="AC72" i="2"/>
  <c r="AE72" i="2"/>
  <c r="Z72" i="2"/>
  <c r="AB72" i="2"/>
  <c r="W72" i="2"/>
  <c r="Y72" i="2"/>
  <c r="T72" i="2"/>
  <c r="V72" i="2"/>
  <c r="S72" i="2"/>
  <c r="M72" i="2"/>
  <c r="AT79" i="2"/>
  <c r="AC64" i="2"/>
  <c r="AE64" i="2"/>
  <c r="AC65" i="2"/>
  <c r="AE65" i="2"/>
  <c r="AC66" i="2"/>
  <c r="AE66" i="2"/>
  <c r="AC67" i="2"/>
  <c r="AE67" i="2"/>
  <c r="AC68" i="2"/>
  <c r="AE68" i="2"/>
  <c r="Z64" i="2"/>
  <c r="AB64" i="2"/>
  <c r="Z65" i="2"/>
  <c r="AB65" i="2"/>
  <c r="Z66" i="2"/>
  <c r="AB66" i="2"/>
  <c r="Z67" i="2"/>
  <c r="AB67" i="2"/>
  <c r="Z68" i="2"/>
  <c r="AB68" i="2"/>
  <c r="W64" i="2"/>
  <c r="Y64" i="2"/>
  <c r="W65" i="2"/>
  <c r="Y65" i="2"/>
  <c r="W66" i="2"/>
  <c r="Y66" i="2"/>
  <c r="W67" i="2"/>
  <c r="Y67" i="2"/>
  <c r="W68" i="2"/>
  <c r="Y68" i="2"/>
  <c r="T64" i="2"/>
  <c r="U71" i="2" s="1"/>
  <c r="V64" i="2"/>
  <c r="T65" i="2"/>
  <c r="V65" i="2"/>
  <c r="T66" i="2"/>
  <c r="V66" i="2"/>
  <c r="T67" i="2"/>
  <c r="V67" i="2"/>
  <c r="T68" i="2"/>
  <c r="V68" i="2"/>
  <c r="B62" i="2"/>
  <c r="D62" i="2"/>
  <c r="E62" i="2"/>
  <c r="G62" i="2"/>
  <c r="H62" i="2"/>
  <c r="J62" i="2"/>
  <c r="K62" i="2"/>
  <c r="M62" i="2"/>
  <c r="N62" i="2"/>
  <c r="P62" i="2"/>
  <c r="Q62" i="2"/>
  <c r="S62" i="2"/>
  <c r="T62" i="2"/>
  <c r="V62" i="2"/>
  <c r="W62" i="2"/>
  <c r="Y62" i="2"/>
  <c r="Z62" i="2"/>
  <c r="AB62" i="2"/>
  <c r="AC62" i="2"/>
  <c r="AE62" i="2"/>
  <c r="B61" i="2"/>
  <c r="D61" i="2"/>
  <c r="E61" i="2"/>
  <c r="H61" i="2"/>
  <c r="H39" i="2"/>
  <c r="K61" i="2"/>
  <c r="M61" i="2"/>
  <c r="N61" i="2"/>
  <c r="N39" i="2"/>
  <c r="Q61" i="2"/>
  <c r="S61" i="2"/>
  <c r="T61" i="2"/>
  <c r="V61" i="2"/>
  <c r="W61" i="2"/>
  <c r="Y61" i="2"/>
  <c r="Z61" i="2"/>
  <c r="AB61" i="2"/>
  <c r="AC61" i="2"/>
  <c r="AE61" i="2"/>
  <c r="B60" i="2"/>
  <c r="D39" i="2"/>
  <c r="B40" i="2"/>
  <c r="B41" i="2"/>
  <c r="D41" i="2"/>
  <c r="D43" i="2"/>
  <c r="E60" i="2"/>
  <c r="G40" i="2"/>
  <c r="E41" i="2"/>
  <c r="E42" i="2"/>
  <c r="G42" i="2"/>
  <c r="G60" i="2"/>
  <c r="H60" i="2"/>
  <c r="J60" i="2"/>
  <c r="K60" i="2"/>
  <c r="K39" i="2"/>
  <c r="M39" i="2"/>
  <c r="P60" i="2"/>
  <c r="Q60" i="2"/>
  <c r="S60" i="2"/>
  <c r="T60" i="2"/>
  <c r="V60" i="2"/>
  <c r="W60" i="2"/>
  <c r="Y60" i="2"/>
  <c r="Z60" i="2"/>
  <c r="AB60" i="2"/>
  <c r="AC60" i="2"/>
  <c r="AE60" i="2"/>
  <c r="D59" i="2"/>
  <c r="E59" i="2"/>
  <c r="G59" i="2"/>
  <c r="H40" i="2"/>
  <c r="H41" i="2"/>
  <c r="J41" i="2"/>
  <c r="J43" i="2"/>
  <c r="J59" i="2"/>
  <c r="K59" i="2"/>
  <c r="M59" i="2"/>
  <c r="N59" i="2"/>
  <c r="P59" i="2"/>
  <c r="Q59" i="2"/>
  <c r="S39" i="2"/>
  <c r="T59" i="2"/>
  <c r="V59" i="2"/>
  <c r="W59" i="2"/>
  <c r="Y59" i="2"/>
  <c r="Z59" i="2"/>
  <c r="AB59" i="2"/>
  <c r="AC59" i="2"/>
  <c r="AE59" i="2"/>
  <c r="B58" i="2"/>
  <c r="D58" i="2"/>
  <c r="G58" i="2"/>
  <c r="H58" i="2"/>
  <c r="J58" i="2"/>
  <c r="M58" i="2"/>
  <c r="N58" i="2"/>
  <c r="P58" i="2"/>
  <c r="S58" i="2"/>
  <c r="T58" i="2"/>
  <c r="V58" i="2"/>
  <c r="W58" i="2"/>
  <c r="Y58" i="2"/>
  <c r="Z58" i="2"/>
  <c r="AB58" i="2"/>
  <c r="AC58" i="2"/>
  <c r="AE58" i="2"/>
  <c r="B56" i="2"/>
  <c r="D56" i="2"/>
  <c r="E56" i="2"/>
  <c r="G56" i="2"/>
  <c r="H56" i="2"/>
  <c r="J56" i="2"/>
  <c r="K56" i="2"/>
  <c r="M56" i="2"/>
  <c r="N56" i="2"/>
  <c r="P56" i="2"/>
  <c r="Q56" i="2"/>
  <c r="S56" i="2"/>
  <c r="T56" i="2"/>
  <c r="V56" i="2"/>
  <c r="W56" i="2"/>
  <c r="Y56" i="2"/>
  <c r="Z56" i="2"/>
  <c r="AB56" i="2"/>
  <c r="AC56" i="2"/>
  <c r="AE56" i="2"/>
  <c r="B55" i="2"/>
  <c r="D55" i="2"/>
  <c r="E55" i="2"/>
  <c r="H55" i="2"/>
  <c r="K55" i="2"/>
  <c r="M55" i="2"/>
  <c r="N55" i="2"/>
  <c r="Q55" i="2"/>
  <c r="S55" i="2"/>
  <c r="T55" i="2"/>
  <c r="V55" i="2"/>
  <c r="W55" i="2"/>
  <c r="Y55" i="2"/>
  <c r="Z55" i="2"/>
  <c r="AB55" i="2"/>
  <c r="AC55" i="2"/>
  <c r="AE55" i="2"/>
  <c r="B54" i="2"/>
  <c r="E54" i="2"/>
  <c r="G54" i="2"/>
  <c r="H54" i="2"/>
  <c r="J54" i="2"/>
  <c r="K54" i="2"/>
  <c r="P54" i="2"/>
  <c r="Q54" i="2"/>
  <c r="S54" i="2"/>
  <c r="T54" i="2"/>
  <c r="V54" i="2"/>
  <c r="W54" i="2"/>
  <c r="Y54" i="2"/>
  <c r="Z54" i="2"/>
  <c r="AB54" i="2"/>
  <c r="AC54" i="2"/>
  <c r="AE54" i="2"/>
  <c r="D53" i="2"/>
  <c r="E53" i="2"/>
  <c r="G53" i="2"/>
  <c r="J53" i="2"/>
  <c r="K53" i="2"/>
  <c r="M53" i="2"/>
  <c r="N53" i="2"/>
  <c r="P53" i="2"/>
  <c r="Q53" i="2"/>
  <c r="T53" i="2"/>
  <c r="V53" i="2"/>
  <c r="W53" i="2"/>
  <c r="Y53" i="2"/>
  <c r="Z53" i="2"/>
  <c r="AB53" i="2"/>
  <c r="AC53" i="2"/>
  <c r="AE53" i="2"/>
  <c r="B52" i="2"/>
  <c r="D52" i="2"/>
  <c r="G52" i="2"/>
  <c r="H52" i="2"/>
  <c r="J52" i="2"/>
  <c r="M52" i="2"/>
  <c r="N52" i="2"/>
  <c r="P52" i="2"/>
  <c r="S52" i="2"/>
  <c r="T52" i="2"/>
  <c r="V52" i="2"/>
  <c r="W52" i="2"/>
  <c r="Y52" i="2"/>
  <c r="Z52" i="2"/>
  <c r="AB52" i="2"/>
  <c r="AC52" i="2"/>
  <c r="AE52" i="2"/>
  <c r="B50" i="2"/>
  <c r="D50" i="2"/>
  <c r="E50" i="2"/>
  <c r="G50" i="2"/>
  <c r="H50" i="2"/>
  <c r="J50" i="2"/>
  <c r="K50" i="2"/>
  <c r="M50" i="2"/>
  <c r="N50" i="2"/>
  <c r="P50" i="2"/>
  <c r="Q50" i="2"/>
  <c r="S50" i="2"/>
  <c r="T50" i="2"/>
  <c r="V50" i="2"/>
  <c r="W50" i="2"/>
  <c r="Y50" i="2"/>
  <c r="Z50" i="2"/>
  <c r="AB50" i="2"/>
  <c r="AC50" i="2"/>
  <c r="AE50" i="2"/>
  <c r="B49" i="2"/>
  <c r="D49" i="2"/>
  <c r="E49" i="2"/>
  <c r="H49" i="2"/>
  <c r="K49" i="2"/>
  <c r="M49" i="2"/>
  <c r="N49" i="2"/>
  <c r="Q49" i="2"/>
  <c r="S49" i="2"/>
  <c r="T49" i="2"/>
  <c r="V49" i="2"/>
  <c r="W49" i="2"/>
  <c r="Y49" i="2"/>
  <c r="Z49" i="2"/>
  <c r="AB49" i="2"/>
  <c r="AC49" i="2"/>
  <c r="AE49" i="2"/>
  <c r="B48" i="2"/>
  <c r="E48" i="2"/>
  <c r="G48" i="2"/>
  <c r="H48" i="2"/>
  <c r="J48" i="2"/>
  <c r="K48" i="2"/>
  <c r="P48" i="2"/>
  <c r="Q48" i="2"/>
  <c r="S48" i="2"/>
  <c r="T48" i="2"/>
  <c r="V48" i="2"/>
  <c r="W48" i="2"/>
  <c r="Y48" i="2"/>
  <c r="Z48" i="2"/>
  <c r="AB48" i="2"/>
  <c r="AC48" i="2"/>
  <c r="AE48" i="2"/>
  <c r="D47" i="2"/>
  <c r="E47" i="2"/>
  <c r="G47" i="2"/>
  <c r="J47" i="2"/>
  <c r="K47" i="2"/>
  <c r="M47" i="2"/>
  <c r="N47" i="2"/>
  <c r="P47" i="2"/>
  <c r="Q47" i="2"/>
  <c r="T47" i="2"/>
  <c r="V47" i="2"/>
  <c r="W47" i="2"/>
  <c r="Y47" i="2"/>
  <c r="Z47" i="2"/>
  <c r="AB47" i="2"/>
  <c r="AC47" i="2"/>
  <c r="AE47" i="2"/>
  <c r="B46" i="2"/>
  <c r="D46" i="2"/>
  <c r="G46" i="2"/>
  <c r="H46" i="2"/>
  <c r="J46" i="2"/>
  <c r="M46" i="2"/>
  <c r="N46" i="2"/>
  <c r="P46" i="2"/>
  <c r="S46" i="2"/>
  <c r="T46" i="2"/>
  <c r="V46" i="2"/>
  <c r="W46" i="2"/>
  <c r="Y46" i="2"/>
  <c r="Z46" i="2"/>
  <c r="AB46" i="2"/>
  <c r="AC46" i="2"/>
  <c r="AE46" i="2"/>
  <c r="AC39" i="2"/>
  <c r="AE39" i="2"/>
  <c r="AE40" i="2"/>
  <c r="AE41" i="2"/>
  <c r="AE42" i="2"/>
  <c r="AC43" i="2"/>
  <c r="Z39" i="2"/>
  <c r="AB39" i="2"/>
  <c r="AB40" i="2"/>
  <c r="Z42" i="2"/>
  <c r="Z43" i="2"/>
  <c r="Y40" i="2"/>
  <c r="Y41" i="2"/>
  <c r="W42" i="2"/>
  <c r="W43" i="2"/>
  <c r="T39" i="2"/>
  <c r="V39" i="2"/>
  <c r="V40" i="2"/>
  <c r="T41" i="2"/>
  <c r="V43" i="2"/>
  <c r="Q40" i="2"/>
  <c r="Q42" i="2"/>
  <c r="S42" i="2"/>
  <c r="P40" i="2"/>
  <c r="P41" i="2"/>
  <c r="N42" i="2"/>
  <c r="N43" i="2"/>
  <c r="P43" i="2"/>
  <c r="M41" i="2"/>
  <c r="K42" i="2"/>
  <c r="M42" i="2"/>
  <c r="AE30" i="2"/>
  <c r="AC30" i="2"/>
  <c r="AB30" i="2"/>
  <c r="Z30" i="2"/>
  <c r="Y30" i="2"/>
  <c r="W30" i="2"/>
  <c r="V30" i="2"/>
  <c r="T30" i="2"/>
  <c r="S30" i="2"/>
  <c r="Q30" i="2"/>
  <c r="AL25" i="2" s="1"/>
  <c r="P30" i="2"/>
  <c r="N30" i="2"/>
  <c r="M30" i="2"/>
  <c r="K30" i="2"/>
  <c r="J30" i="2"/>
  <c r="H30" i="2"/>
  <c r="AI27" i="2" s="1"/>
  <c r="G30" i="2"/>
  <c r="E30" i="2"/>
  <c r="AH27" i="2" s="1"/>
  <c r="D30" i="2"/>
  <c r="B30" i="2"/>
  <c r="AG25" i="2" s="1"/>
  <c r="AD29" i="2"/>
  <c r="AA29" i="2"/>
  <c r="X29" i="2"/>
  <c r="U29" i="2"/>
  <c r="R29" i="2"/>
  <c r="O29" i="2"/>
  <c r="L29" i="2"/>
  <c r="I29" i="2"/>
  <c r="F29" i="2"/>
  <c r="A29" i="2"/>
  <c r="AG28" i="2"/>
  <c r="AH28" i="2"/>
  <c r="AI28" i="2"/>
  <c r="AJ28" i="2"/>
  <c r="AK28" i="2"/>
  <c r="AL28" i="2"/>
  <c r="AM28" i="2"/>
  <c r="AN28" i="2"/>
  <c r="AO28" i="2"/>
  <c r="AP28" i="2"/>
  <c r="AF28" i="2"/>
  <c r="AD28" i="2"/>
  <c r="AA28" i="2"/>
  <c r="X28" i="2"/>
  <c r="U28" i="2"/>
  <c r="R28" i="2"/>
  <c r="O28" i="2"/>
  <c r="L28" i="2"/>
  <c r="I28" i="2"/>
  <c r="F28" i="2"/>
  <c r="A28" i="2"/>
  <c r="AG27" i="2"/>
  <c r="AJ27" i="2"/>
  <c r="AL27" i="2"/>
  <c r="AM27" i="2"/>
  <c r="AN27" i="2"/>
  <c r="AO27" i="2"/>
  <c r="AP27" i="2"/>
  <c r="AF27" i="2"/>
  <c r="AD27" i="2"/>
  <c r="AA27" i="2"/>
  <c r="X27" i="2"/>
  <c r="U27" i="2"/>
  <c r="R27" i="2"/>
  <c r="O27" i="2"/>
  <c r="L27" i="2"/>
  <c r="F27" i="2"/>
  <c r="A27" i="2"/>
  <c r="AG26" i="2"/>
  <c r="AH26" i="2"/>
  <c r="AI26" i="2"/>
  <c r="AK26" i="2"/>
  <c r="AL26" i="2"/>
  <c r="AM26" i="2"/>
  <c r="AN26" i="2"/>
  <c r="AO26" i="2"/>
  <c r="AP26" i="2"/>
  <c r="AF26" i="2"/>
  <c r="AD26" i="2"/>
  <c r="AA26" i="2"/>
  <c r="X26" i="2"/>
  <c r="U26" i="2"/>
  <c r="R26" i="2"/>
  <c r="O26" i="2"/>
  <c r="L26" i="2"/>
  <c r="I26" i="2"/>
  <c r="F26" i="2"/>
  <c r="A26" i="2"/>
  <c r="AH25" i="2"/>
  <c r="AI25" i="2"/>
  <c r="AJ25" i="2"/>
  <c r="AK25" i="2"/>
  <c r="AM25" i="2"/>
  <c r="AN25" i="2"/>
  <c r="AO25" i="2"/>
  <c r="AP25" i="2"/>
  <c r="AF25" i="2"/>
  <c r="AD25" i="2"/>
  <c r="AA25" i="2"/>
  <c r="X25" i="2"/>
  <c r="U25" i="2"/>
  <c r="AG24" i="2"/>
  <c r="AI24" i="2"/>
  <c r="AK24" i="2"/>
  <c r="AM24" i="2"/>
  <c r="AN24" i="2"/>
  <c r="AO24" i="2"/>
  <c r="AP24" i="2"/>
  <c r="AF24" i="2"/>
  <c r="AD24" i="2"/>
  <c r="AA24" i="2"/>
  <c r="X24" i="2"/>
  <c r="U24" i="2"/>
  <c r="AC22" i="2"/>
  <c r="Z22" i="2"/>
  <c r="W22" i="2"/>
  <c r="T22" i="2"/>
  <c r="E17" i="2"/>
  <c r="A16" i="2"/>
  <c r="A14" i="2"/>
  <c r="A12" i="2"/>
  <c r="A10" i="2"/>
  <c r="A8" i="2"/>
  <c r="R7" i="2"/>
  <c r="L7" i="2"/>
  <c r="K6" i="2"/>
  <c r="A234" i="1"/>
  <c r="AE230" i="1"/>
  <c r="AE176" i="1"/>
  <c r="AE177" i="1"/>
  <c r="AE178" i="1"/>
  <c r="AE179" i="1"/>
  <c r="AE187" i="1" s="1"/>
  <c r="AE180" i="1"/>
  <c r="AC230" i="1"/>
  <c r="AC176" i="1"/>
  <c r="AC181" i="1" s="1"/>
  <c r="AC177" i="1"/>
  <c r="AC185" i="1" s="1"/>
  <c r="AC178" i="1"/>
  <c r="AC179" i="1"/>
  <c r="AC180" i="1"/>
  <c r="AB230" i="1"/>
  <c r="AB176" i="1"/>
  <c r="AB181" i="1" s="1"/>
  <c r="AB177" i="1"/>
  <c r="AB178" i="1"/>
  <c r="AB179" i="1"/>
  <c r="AB187" i="1" s="1"/>
  <c r="AB180" i="1"/>
  <c r="AB188" i="1" s="1"/>
  <c r="Z230" i="1"/>
  <c r="Z176" i="1"/>
  <c r="Z177" i="1"/>
  <c r="Z185" i="1" s="1"/>
  <c r="Z178" i="1"/>
  <c r="Z186" i="1" s="1"/>
  <c r="Z179" i="1"/>
  <c r="Z180" i="1"/>
  <c r="Z181" i="1"/>
  <c r="Y230" i="1"/>
  <c r="Y176" i="1"/>
  <c r="Y177" i="1"/>
  <c r="Y178" i="1"/>
  <c r="Y186" i="1" s="1"/>
  <c r="Y179" i="1"/>
  <c r="Y180" i="1"/>
  <c r="W230" i="1"/>
  <c r="W176" i="1"/>
  <c r="W181" i="1" s="1"/>
  <c r="W177" i="1"/>
  <c r="W185" i="1" s="1"/>
  <c r="W178" i="1"/>
  <c r="W179" i="1"/>
  <c r="W187" i="1" s="1"/>
  <c r="W180" i="1"/>
  <c r="W188" i="1" s="1"/>
  <c r="V230" i="1"/>
  <c r="V176" i="1"/>
  <c r="V181" i="1" s="1"/>
  <c r="V177" i="1"/>
  <c r="V178" i="1"/>
  <c r="V179" i="1"/>
  <c r="V187" i="1" s="1"/>
  <c r="V180" i="1"/>
  <c r="T230" i="1"/>
  <c r="T176" i="1"/>
  <c r="T181" i="1" s="1"/>
  <c r="T182" i="1" s="1"/>
  <c r="T177" i="1"/>
  <c r="T185" i="1" s="1"/>
  <c r="T178" i="1"/>
  <c r="T179" i="1"/>
  <c r="T180" i="1"/>
  <c r="T188" i="1" s="1"/>
  <c r="N218" i="1"/>
  <c r="P218" i="1"/>
  <c r="K218" i="1"/>
  <c r="M218" i="1"/>
  <c r="H218" i="1"/>
  <c r="H176" i="1"/>
  <c r="H177" i="1"/>
  <c r="H181" i="1" s="1"/>
  <c r="H178" i="1"/>
  <c r="H186" i="1" s="1"/>
  <c r="H179" i="1"/>
  <c r="H180" i="1"/>
  <c r="J209" i="1"/>
  <c r="H210" i="1"/>
  <c r="J176" i="1"/>
  <c r="J177" i="1"/>
  <c r="J178" i="1"/>
  <c r="J181" i="1" s="1"/>
  <c r="J182" i="1" s="1"/>
  <c r="J192" i="1" s="1"/>
  <c r="J179" i="1"/>
  <c r="J180" i="1"/>
  <c r="H211" i="1"/>
  <c r="J211" i="1"/>
  <c r="H212" i="1"/>
  <c r="J212" i="1"/>
  <c r="H213" i="1"/>
  <c r="J213" i="1"/>
  <c r="E209" i="1"/>
  <c r="G209" i="1"/>
  <c r="E176" i="1"/>
  <c r="E177" i="1"/>
  <c r="E185" i="1" s="1"/>
  <c r="E178" i="1"/>
  <c r="E181" i="1" s="1"/>
  <c r="E182" i="1" s="1"/>
  <c r="E179" i="1"/>
  <c r="E180" i="1"/>
  <c r="G210" i="1"/>
  <c r="E211" i="1"/>
  <c r="G176" i="1"/>
  <c r="G177" i="1"/>
  <c r="G178" i="1"/>
  <c r="G186" i="1" s="1"/>
  <c r="G179" i="1"/>
  <c r="G180" i="1"/>
  <c r="E212" i="1"/>
  <c r="G212" i="1"/>
  <c r="E213" i="1"/>
  <c r="G213" i="1"/>
  <c r="B218" i="1"/>
  <c r="D218" i="1"/>
  <c r="B225" i="1"/>
  <c r="B219" i="1"/>
  <c r="B176" i="1"/>
  <c r="B177" i="1"/>
  <c r="B185" i="1" s="1"/>
  <c r="B178" i="1"/>
  <c r="B186" i="1" s="1"/>
  <c r="B179" i="1"/>
  <c r="B180" i="1"/>
  <c r="B209" i="1"/>
  <c r="C216" i="1" s="1"/>
  <c r="D209" i="1"/>
  <c r="B210" i="1"/>
  <c r="D210" i="1"/>
  <c r="B211" i="1"/>
  <c r="D176" i="1"/>
  <c r="D211" i="1" s="1"/>
  <c r="D177" i="1"/>
  <c r="D178" i="1"/>
  <c r="D179" i="1"/>
  <c r="D181" i="1" s="1"/>
  <c r="D180" i="1"/>
  <c r="D188" i="1" s="1"/>
  <c r="B212" i="1"/>
  <c r="D212" i="1"/>
  <c r="B213" i="1"/>
  <c r="AF213" i="1" s="1"/>
  <c r="D213" i="1"/>
  <c r="G181" i="1"/>
  <c r="E217" i="1"/>
  <c r="G217" i="1"/>
  <c r="S176" i="1"/>
  <c r="S181" i="1" s="1"/>
  <c r="S177" i="1"/>
  <c r="S178" i="1"/>
  <c r="S179" i="1"/>
  <c r="S187" i="1" s="1"/>
  <c r="S180" i="1"/>
  <c r="S188" i="1" s="1"/>
  <c r="N217" i="1"/>
  <c r="P217" i="1"/>
  <c r="K176" i="1"/>
  <c r="K209" i="1" s="1"/>
  <c r="L216" i="1" s="1"/>
  <c r="K177" i="1"/>
  <c r="K178" i="1"/>
  <c r="K179" i="1"/>
  <c r="K187" i="1" s="1"/>
  <c r="K180" i="1"/>
  <c r="K188" i="1" s="1"/>
  <c r="M209" i="1"/>
  <c r="K210" i="1"/>
  <c r="M210" i="1"/>
  <c r="K211" i="1"/>
  <c r="M176" i="1"/>
  <c r="M181" i="1" s="1"/>
  <c r="M177" i="1"/>
  <c r="M185" i="1" s="1"/>
  <c r="M178" i="1"/>
  <c r="M179" i="1"/>
  <c r="M180" i="1"/>
  <c r="M188" i="1" s="1"/>
  <c r="M211" i="1"/>
  <c r="K212" i="1"/>
  <c r="M212" i="1"/>
  <c r="K213" i="1"/>
  <c r="M213" i="1"/>
  <c r="M217" i="1"/>
  <c r="Q176" i="1"/>
  <c r="Q181" i="1" s="1"/>
  <c r="Q182" i="1" s="1"/>
  <c r="Q191" i="1" s="1"/>
  <c r="Q177" i="1"/>
  <c r="Q185" i="1" s="1"/>
  <c r="Q178" i="1"/>
  <c r="Q179" i="1"/>
  <c r="Q180" i="1"/>
  <c r="Q188" i="1" s="1"/>
  <c r="K220" i="1"/>
  <c r="M220" i="1"/>
  <c r="H220" i="1"/>
  <c r="J220" i="1"/>
  <c r="E220" i="1"/>
  <c r="G220" i="1"/>
  <c r="B220" i="1"/>
  <c r="D220" i="1"/>
  <c r="B227" i="1"/>
  <c r="P176" i="1"/>
  <c r="P181" i="1" s="1"/>
  <c r="P177" i="1"/>
  <c r="P185" i="1" s="1"/>
  <c r="P178" i="1"/>
  <c r="P179" i="1"/>
  <c r="P187" i="1" s="1"/>
  <c r="P180" i="1"/>
  <c r="K219" i="1"/>
  <c r="H219" i="1"/>
  <c r="J219" i="1"/>
  <c r="E219" i="1"/>
  <c r="N176" i="1"/>
  <c r="N181" i="1" s="1"/>
  <c r="N177" i="1"/>
  <c r="N185" i="1" s="1"/>
  <c r="N178" i="1"/>
  <c r="N179" i="1"/>
  <c r="N180" i="1"/>
  <c r="N188" i="1" s="1"/>
  <c r="AC221" i="1"/>
  <c r="AE221" i="1"/>
  <c r="Z221" i="1"/>
  <c r="AB221" i="1"/>
  <c r="W221" i="1"/>
  <c r="Y221" i="1"/>
  <c r="T221" i="1"/>
  <c r="V221" i="1"/>
  <c r="Q221" i="1"/>
  <c r="S221" i="1"/>
  <c r="N221" i="1"/>
  <c r="P221" i="1"/>
  <c r="K221" i="1"/>
  <c r="M221" i="1"/>
  <c r="H221" i="1"/>
  <c r="J221" i="1"/>
  <c r="E221" i="1"/>
  <c r="G221" i="1"/>
  <c r="B221" i="1"/>
  <c r="D221" i="1"/>
  <c r="B228" i="1"/>
  <c r="AC220" i="1"/>
  <c r="AE220" i="1"/>
  <c r="Z220" i="1"/>
  <c r="AB220" i="1"/>
  <c r="W220" i="1"/>
  <c r="Y220" i="1"/>
  <c r="T220" i="1"/>
  <c r="V220" i="1"/>
  <c r="Q220" i="1"/>
  <c r="S220" i="1"/>
  <c r="N220" i="1"/>
  <c r="N209" i="1"/>
  <c r="P209" i="1"/>
  <c r="N210" i="1"/>
  <c r="P210" i="1"/>
  <c r="P211" i="1"/>
  <c r="N212" i="1"/>
  <c r="N213" i="1"/>
  <c r="P213" i="1"/>
  <c r="AC219" i="1"/>
  <c r="AE219" i="1"/>
  <c r="Z219" i="1"/>
  <c r="AB219" i="1"/>
  <c r="W219" i="1"/>
  <c r="Y219" i="1"/>
  <c r="T219" i="1"/>
  <c r="V219" i="1"/>
  <c r="Q219" i="1"/>
  <c r="S219" i="1"/>
  <c r="P219" i="1"/>
  <c r="AC218" i="1"/>
  <c r="AE218" i="1"/>
  <c r="Z218" i="1"/>
  <c r="AB218" i="1"/>
  <c r="W218" i="1"/>
  <c r="Y218" i="1"/>
  <c r="T218" i="1"/>
  <c r="V218" i="1"/>
  <c r="Q218" i="1"/>
  <c r="Q209" i="1"/>
  <c r="S209" i="1"/>
  <c r="Q210" i="1"/>
  <c r="Q211" i="1"/>
  <c r="S211" i="1"/>
  <c r="Q212" i="1"/>
  <c r="S212" i="1"/>
  <c r="Q213" i="1"/>
  <c r="S213" i="1"/>
  <c r="AC217" i="1"/>
  <c r="AE217" i="1"/>
  <c r="Z217" i="1"/>
  <c r="AB217" i="1"/>
  <c r="W217" i="1"/>
  <c r="Y217" i="1"/>
  <c r="T217" i="1"/>
  <c r="V217" i="1"/>
  <c r="S217" i="1"/>
  <c r="AF221" i="1"/>
  <c r="G218" i="1"/>
  <c r="D217" i="1"/>
  <c r="J217" i="1"/>
  <c r="AC209" i="1"/>
  <c r="AE209" i="1"/>
  <c r="AC210" i="1"/>
  <c r="AE210" i="1"/>
  <c r="AC211" i="1"/>
  <c r="AE211" i="1"/>
  <c r="AC212" i="1"/>
  <c r="AE212" i="1"/>
  <c r="AC213" i="1"/>
  <c r="AE213" i="1"/>
  <c r="Z209" i="1"/>
  <c r="AB209" i="1"/>
  <c r="Z210" i="1"/>
  <c r="AB210" i="1"/>
  <c r="Z211" i="1"/>
  <c r="AB211" i="1"/>
  <c r="Z212" i="1"/>
  <c r="AB212" i="1"/>
  <c r="Z213" i="1"/>
  <c r="AB213" i="1"/>
  <c r="W209" i="1"/>
  <c r="X216" i="1" s="1"/>
  <c r="Y209" i="1"/>
  <c r="W210" i="1"/>
  <c r="Y210" i="1"/>
  <c r="W211" i="1"/>
  <c r="Y211" i="1"/>
  <c r="W212" i="1"/>
  <c r="Y212" i="1"/>
  <c r="W213" i="1"/>
  <c r="Y213" i="1"/>
  <c r="T209" i="1"/>
  <c r="V209" i="1"/>
  <c r="T210" i="1"/>
  <c r="V210" i="1"/>
  <c r="T211" i="1"/>
  <c r="V211" i="1"/>
  <c r="T212" i="1"/>
  <c r="V212" i="1"/>
  <c r="T213" i="1"/>
  <c r="V213" i="1"/>
  <c r="B207" i="1"/>
  <c r="D207" i="1"/>
  <c r="AF207" i="1" s="1"/>
  <c r="E207" i="1"/>
  <c r="G207" i="1"/>
  <c r="H207" i="1"/>
  <c r="J207" i="1"/>
  <c r="K207" i="1"/>
  <c r="M207" i="1"/>
  <c r="N207" i="1"/>
  <c r="P207" i="1"/>
  <c r="Q207" i="1"/>
  <c r="S207" i="1"/>
  <c r="T207" i="1"/>
  <c r="V207" i="1"/>
  <c r="W207" i="1"/>
  <c r="Y207" i="1"/>
  <c r="Z207" i="1"/>
  <c r="AB207" i="1"/>
  <c r="AC207" i="1"/>
  <c r="AE207" i="1"/>
  <c r="B206" i="1"/>
  <c r="D206" i="1"/>
  <c r="E206" i="1"/>
  <c r="G206" i="1"/>
  <c r="H206" i="1"/>
  <c r="J206" i="1"/>
  <c r="K206" i="1"/>
  <c r="M206" i="1"/>
  <c r="N206" i="1"/>
  <c r="N184" i="1"/>
  <c r="N189" i="1" s="1"/>
  <c r="P206" i="1" s="1"/>
  <c r="P184" i="1"/>
  <c r="N186" i="1"/>
  <c r="P186" i="1"/>
  <c r="N187" i="1"/>
  <c r="P188" i="1"/>
  <c r="Q206" i="1"/>
  <c r="S206" i="1"/>
  <c r="T206" i="1"/>
  <c r="V206" i="1"/>
  <c r="W206" i="1"/>
  <c r="Y206" i="1"/>
  <c r="Z206" i="1"/>
  <c r="AB206" i="1"/>
  <c r="AC206" i="1"/>
  <c r="AE206" i="1"/>
  <c r="B205" i="1"/>
  <c r="B184" i="1"/>
  <c r="D184" i="1"/>
  <c r="D185" i="1"/>
  <c r="D186" i="1"/>
  <c r="B187" i="1"/>
  <c r="B188" i="1"/>
  <c r="E205" i="1"/>
  <c r="E184" i="1"/>
  <c r="G184" i="1"/>
  <c r="G185" i="1"/>
  <c r="E187" i="1"/>
  <c r="G187" i="1"/>
  <c r="E188" i="1"/>
  <c r="G188" i="1"/>
  <c r="H205" i="1"/>
  <c r="J205" i="1"/>
  <c r="K205" i="1"/>
  <c r="M184" i="1"/>
  <c r="K185" i="1"/>
  <c r="K186" i="1"/>
  <c r="M186" i="1"/>
  <c r="M187" i="1"/>
  <c r="N205" i="1"/>
  <c r="P205" i="1"/>
  <c r="Q205" i="1"/>
  <c r="S205" i="1"/>
  <c r="T205" i="1"/>
  <c r="V205" i="1"/>
  <c r="W205" i="1"/>
  <c r="Y205" i="1"/>
  <c r="Z205" i="1"/>
  <c r="AB205" i="1"/>
  <c r="AC205" i="1"/>
  <c r="AE205" i="1"/>
  <c r="B204" i="1"/>
  <c r="D204" i="1"/>
  <c r="G204" i="1"/>
  <c r="H204" i="1"/>
  <c r="H184" i="1"/>
  <c r="J184" i="1"/>
  <c r="J185" i="1"/>
  <c r="H187" i="1"/>
  <c r="J187" i="1"/>
  <c r="H188" i="1"/>
  <c r="J188" i="1"/>
  <c r="K204" i="1"/>
  <c r="M204" i="1"/>
  <c r="N204" i="1"/>
  <c r="P204" i="1"/>
  <c r="Q204" i="1"/>
  <c r="Q184" i="1"/>
  <c r="S184" i="1"/>
  <c r="S185" i="1"/>
  <c r="Q186" i="1"/>
  <c r="S186" i="1"/>
  <c r="Q187" i="1"/>
  <c r="T204" i="1"/>
  <c r="V204" i="1"/>
  <c r="W204" i="1"/>
  <c r="Y204" i="1"/>
  <c r="Z204" i="1"/>
  <c r="AB204" i="1"/>
  <c r="AC204" i="1"/>
  <c r="AE204" i="1"/>
  <c r="D203" i="1"/>
  <c r="E203" i="1"/>
  <c r="G203" i="1"/>
  <c r="J203" i="1"/>
  <c r="M203" i="1"/>
  <c r="N203" i="1"/>
  <c r="P203" i="1"/>
  <c r="S203" i="1"/>
  <c r="T203" i="1"/>
  <c r="V203" i="1"/>
  <c r="W203" i="1"/>
  <c r="Y203" i="1"/>
  <c r="Z203" i="1"/>
  <c r="AB203" i="1"/>
  <c r="AC203" i="1"/>
  <c r="AE203" i="1"/>
  <c r="B201" i="1"/>
  <c r="D201" i="1"/>
  <c r="E201" i="1"/>
  <c r="G201" i="1"/>
  <c r="H201" i="1"/>
  <c r="J201" i="1"/>
  <c r="K201" i="1"/>
  <c r="M201" i="1"/>
  <c r="N201" i="1"/>
  <c r="P201" i="1"/>
  <c r="Q201" i="1"/>
  <c r="S201" i="1"/>
  <c r="T201" i="1"/>
  <c r="V201" i="1"/>
  <c r="W201" i="1"/>
  <c r="Y201" i="1"/>
  <c r="Z201" i="1"/>
  <c r="AB201" i="1"/>
  <c r="AC201" i="1"/>
  <c r="AE201" i="1"/>
  <c r="B200" i="1"/>
  <c r="D200" i="1"/>
  <c r="E200" i="1"/>
  <c r="G200" i="1"/>
  <c r="H200" i="1"/>
  <c r="J200" i="1"/>
  <c r="K200" i="1"/>
  <c r="M200" i="1"/>
  <c r="N200" i="1"/>
  <c r="Q200" i="1"/>
  <c r="S200" i="1"/>
  <c r="T200" i="1"/>
  <c r="V200" i="1"/>
  <c r="W200" i="1"/>
  <c r="Y200" i="1"/>
  <c r="Z200" i="1"/>
  <c r="AB200" i="1"/>
  <c r="AC200" i="1"/>
  <c r="AE200" i="1"/>
  <c r="B199" i="1"/>
  <c r="E199" i="1"/>
  <c r="H199" i="1"/>
  <c r="J199" i="1"/>
  <c r="K199" i="1"/>
  <c r="P199" i="1"/>
  <c r="Q199" i="1"/>
  <c r="S199" i="1"/>
  <c r="T199" i="1"/>
  <c r="V199" i="1"/>
  <c r="W199" i="1"/>
  <c r="Y199" i="1"/>
  <c r="Z199" i="1"/>
  <c r="AB199" i="1"/>
  <c r="AC199" i="1"/>
  <c r="AE199" i="1"/>
  <c r="B198" i="1"/>
  <c r="D198" i="1"/>
  <c r="G198" i="1"/>
  <c r="H198" i="1"/>
  <c r="K198" i="1"/>
  <c r="M198" i="1"/>
  <c r="N198" i="1"/>
  <c r="P198" i="1"/>
  <c r="Q198" i="1"/>
  <c r="T198" i="1"/>
  <c r="V198" i="1"/>
  <c r="W198" i="1"/>
  <c r="Y198" i="1"/>
  <c r="Z198" i="1"/>
  <c r="AB198" i="1"/>
  <c r="AC198" i="1"/>
  <c r="AE198" i="1"/>
  <c r="D197" i="1"/>
  <c r="E197" i="1"/>
  <c r="G197" i="1"/>
  <c r="J197" i="1"/>
  <c r="M197" i="1"/>
  <c r="N197" i="1"/>
  <c r="P197" i="1"/>
  <c r="S197" i="1"/>
  <c r="T197" i="1"/>
  <c r="V197" i="1"/>
  <c r="W197" i="1"/>
  <c r="Y197" i="1"/>
  <c r="Z197" i="1"/>
  <c r="AB197" i="1"/>
  <c r="AC197" i="1"/>
  <c r="AE197" i="1"/>
  <c r="B195" i="1"/>
  <c r="D195" i="1"/>
  <c r="E195" i="1"/>
  <c r="G195" i="1"/>
  <c r="H195" i="1"/>
  <c r="J195" i="1"/>
  <c r="K195" i="1"/>
  <c r="M195" i="1"/>
  <c r="N195" i="1"/>
  <c r="P195" i="1"/>
  <c r="Q195" i="1"/>
  <c r="S195" i="1"/>
  <c r="T195" i="1"/>
  <c r="V195" i="1"/>
  <c r="W195" i="1"/>
  <c r="Y195" i="1"/>
  <c r="Z195" i="1"/>
  <c r="AB195" i="1"/>
  <c r="AC195" i="1"/>
  <c r="AE195" i="1"/>
  <c r="AF195" i="1"/>
  <c r="B194" i="1"/>
  <c r="D194" i="1"/>
  <c r="E194" i="1"/>
  <c r="G194" i="1"/>
  <c r="H194" i="1"/>
  <c r="J194" i="1"/>
  <c r="K194" i="1"/>
  <c r="M194" i="1"/>
  <c r="N194" i="1"/>
  <c r="Q194" i="1"/>
  <c r="S194" i="1"/>
  <c r="T194" i="1"/>
  <c r="V194" i="1"/>
  <c r="W194" i="1"/>
  <c r="Y194" i="1"/>
  <c r="Z194" i="1"/>
  <c r="AB194" i="1"/>
  <c r="AC194" i="1"/>
  <c r="AE194" i="1"/>
  <c r="B193" i="1"/>
  <c r="E193" i="1"/>
  <c r="H193" i="1"/>
  <c r="J193" i="1"/>
  <c r="K193" i="1"/>
  <c r="P193" i="1"/>
  <c r="Q193" i="1"/>
  <c r="S193" i="1"/>
  <c r="T193" i="1"/>
  <c r="V193" i="1"/>
  <c r="W193" i="1"/>
  <c r="Y193" i="1"/>
  <c r="Z193" i="1"/>
  <c r="AB193" i="1"/>
  <c r="AC193" i="1"/>
  <c r="AE193" i="1"/>
  <c r="B192" i="1"/>
  <c r="D192" i="1"/>
  <c r="E192" i="1"/>
  <c r="G192" i="1"/>
  <c r="H192" i="1"/>
  <c r="K192" i="1"/>
  <c r="M192" i="1"/>
  <c r="N192" i="1"/>
  <c r="P192" i="1"/>
  <c r="Q192" i="1"/>
  <c r="T192" i="1"/>
  <c r="V192" i="1"/>
  <c r="W192" i="1"/>
  <c r="Y192" i="1"/>
  <c r="Z192" i="1"/>
  <c r="AB192" i="1"/>
  <c r="AC192" i="1"/>
  <c r="AE192" i="1"/>
  <c r="D191" i="1"/>
  <c r="E191" i="1"/>
  <c r="G191" i="1"/>
  <c r="J191" i="1"/>
  <c r="M191" i="1"/>
  <c r="N191" i="1"/>
  <c r="P191" i="1"/>
  <c r="S191" i="1"/>
  <c r="T191" i="1"/>
  <c r="V191" i="1"/>
  <c r="W191" i="1"/>
  <c r="Y191" i="1"/>
  <c r="Z191" i="1"/>
  <c r="AB191" i="1"/>
  <c r="AC191" i="1"/>
  <c r="AE191" i="1"/>
  <c r="AC184" i="1"/>
  <c r="AE184" i="1"/>
  <c r="AE185" i="1"/>
  <c r="AC186" i="1"/>
  <c r="AC187" i="1"/>
  <c r="AC188" i="1"/>
  <c r="AE188" i="1"/>
  <c r="Z184" i="1"/>
  <c r="AB185" i="1"/>
  <c r="AB186" i="1"/>
  <c r="Z187" i="1"/>
  <c r="Z188" i="1"/>
  <c r="W184" i="1"/>
  <c r="Y184" i="1"/>
  <c r="Y185" i="1"/>
  <c r="W186" i="1"/>
  <c r="Y187" i="1"/>
  <c r="Y188" i="1"/>
  <c r="T184" i="1"/>
  <c r="V184" i="1"/>
  <c r="V185" i="1"/>
  <c r="T186" i="1"/>
  <c r="V186" i="1"/>
  <c r="T187" i="1"/>
  <c r="V188" i="1"/>
  <c r="AE175" i="1"/>
  <c r="AC175" i="1"/>
  <c r="AB175" i="1"/>
  <c r="Z175" i="1"/>
  <c r="Y175" i="1"/>
  <c r="W175" i="1"/>
  <c r="V175" i="1"/>
  <c r="T175" i="1"/>
  <c r="S175" i="1"/>
  <c r="Q175" i="1"/>
  <c r="P175" i="1"/>
  <c r="N175" i="1"/>
  <c r="M175" i="1"/>
  <c r="K175" i="1"/>
  <c r="J175" i="1"/>
  <c r="H175" i="1"/>
  <c r="G175" i="1"/>
  <c r="E175" i="1"/>
  <c r="D175" i="1"/>
  <c r="B175" i="1"/>
  <c r="A174" i="1"/>
  <c r="AE170" i="1"/>
  <c r="AE116" i="1"/>
  <c r="AE124" i="1" s="1"/>
  <c r="AE117" i="1"/>
  <c r="AE118" i="1"/>
  <c r="AE119" i="1"/>
  <c r="AE127" i="1" s="1"/>
  <c r="AE120" i="1"/>
  <c r="AE128" i="1" s="1"/>
  <c r="AC170" i="1"/>
  <c r="AC116" i="1"/>
  <c r="AC117" i="1"/>
  <c r="AC118" i="1"/>
  <c r="AC126" i="1" s="1"/>
  <c r="AC119" i="1"/>
  <c r="AC127" i="1" s="1"/>
  <c r="AC120" i="1"/>
  <c r="AB170" i="1"/>
  <c r="AB116" i="1"/>
  <c r="AB124" i="1" s="1"/>
  <c r="AB117" i="1"/>
  <c r="AB125" i="1" s="1"/>
  <c r="AB118" i="1"/>
  <c r="AB119" i="1"/>
  <c r="AB120" i="1"/>
  <c r="AB128" i="1" s="1"/>
  <c r="Z170" i="1"/>
  <c r="Z116" i="1"/>
  <c r="Z117" i="1"/>
  <c r="Z118" i="1"/>
  <c r="Z119" i="1"/>
  <c r="Z127" i="1" s="1"/>
  <c r="Z120" i="1"/>
  <c r="Y170" i="1"/>
  <c r="Y116" i="1"/>
  <c r="Y124" i="1" s="1"/>
  <c r="Y117" i="1"/>
  <c r="Y118" i="1"/>
  <c r="Y119" i="1"/>
  <c r="Y127" i="1" s="1"/>
  <c r="Y120" i="1"/>
  <c r="W170" i="1"/>
  <c r="W116" i="1"/>
  <c r="W117" i="1"/>
  <c r="W118" i="1"/>
  <c r="W126" i="1" s="1"/>
  <c r="W119" i="1"/>
  <c r="W127" i="1" s="1"/>
  <c r="W120" i="1"/>
  <c r="W128" i="1" s="1"/>
  <c r="V170" i="1"/>
  <c r="V116" i="1"/>
  <c r="V124" i="1" s="1"/>
  <c r="V117" i="1"/>
  <c r="V125" i="1" s="1"/>
  <c r="V118" i="1"/>
  <c r="V119" i="1"/>
  <c r="V120" i="1"/>
  <c r="T170" i="1"/>
  <c r="T116" i="1"/>
  <c r="T117" i="1"/>
  <c r="T118" i="1"/>
  <c r="T119" i="1"/>
  <c r="T120" i="1"/>
  <c r="N149" i="1"/>
  <c r="P149" i="1"/>
  <c r="N117" i="1"/>
  <c r="N118" i="1"/>
  <c r="N119" i="1"/>
  <c r="N120" i="1"/>
  <c r="N116" i="1"/>
  <c r="N124" i="1" s="1"/>
  <c r="N150" i="1"/>
  <c r="P150" i="1"/>
  <c r="P117" i="1"/>
  <c r="P125" i="1" s="1"/>
  <c r="P118" i="1"/>
  <c r="P126" i="1" s="1"/>
  <c r="P119" i="1"/>
  <c r="P120" i="1"/>
  <c r="P116" i="1"/>
  <c r="P124" i="1" s="1"/>
  <c r="P151" i="1"/>
  <c r="N152" i="1"/>
  <c r="N153" i="1"/>
  <c r="P153" i="1"/>
  <c r="N158" i="1"/>
  <c r="P158" i="1"/>
  <c r="K158" i="1"/>
  <c r="M158" i="1"/>
  <c r="H149" i="1"/>
  <c r="J149" i="1"/>
  <c r="H116" i="1"/>
  <c r="H117" i="1"/>
  <c r="H120" i="1"/>
  <c r="J150" i="1"/>
  <c r="H151" i="1"/>
  <c r="J151" i="1"/>
  <c r="H152" i="1"/>
  <c r="J116" i="1"/>
  <c r="J117" i="1"/>
  <c r="J120" i="1"/>
  <c r="J128" i="1" s="1"/>
  <c r="H153" i="1"/>
  <c r="J153" i="1"/>
  <c r="H118" i="1"/>
  <c r="H119" i="1"/>
  <c r="H127" i="1" s="1"/>
  <c r="J118" i="1"/>
  <c r="J126" i="1" s="1"/>
  <c r="J119" i="1"/>
  <c r="J158" i="1"/>
  <c r="E116" i="1"/>
  <c r="E121" i="1" s="1"/>
  <c r="E117" i="1"/>
  <c r="E125" i="1" s="1"/>
  <c r="E120" i="1"/>
  <c r="G149" i="1"/>
  <c r="E118" i="1"/>
  <c r="E126" i="1" s="1"/>
  <c r="E119" i="1"/>
  <c r="E127" i="1" s="1"/>
  <c r="E150" i="1"/>
  <c r="G150" i="1"/>
  <c r="E151" i="1"/>
  <c r="G116" i="1"/>
  <c r="G117" i="1"/>
  <c r="G125" i="1" s="1"/>
  <c r="G118" i="1"/>
  <c r="G119" i="1"/>
  <c r="G120" i="1"/>
  <c r="G128" i="1" s="1"/>
  <c r="G151" i="1"/>
  <c r="E152" i="1"/>
  <c r="E153" i="1"/>
  <c r="G153" i="1"/>
  <c r="E158" i="1"/>
  <c r="B149" i="1"/>
  <c r="D149" i="1"/>
  <c r="B116" i="1"/>
  <c r="B117" i="1"/>
  <c r="B125" i="1" s="1"/>
  <c r="B120" i="1"/>
  <c r="D150" i="1"/>
  <c r="B151" i="1"/>
  <c r="D116" i="1"/>
  <c r="D117" i="1"/>
  <c r="D120" i="1"/>
  <c r="D128" i="1" s="1"/>
  <c r="B152" i="1"/>
  <c r="D152" i="1"/>
  <c r="B153" i="1"/>
  <c r="D153" i="1"/>
  <c r="D158" i="1"/>
  <c r="B165" i="1"/>
  <c r="B157" i="1"/>
  <c r="D157" i="1"/>
  <c r="B159" i="1"/>
  <c r="B118" i="1"/>
  <c r="B119" i="1"/>
  <c r="B127" i="1" s="1"/>
  <c r="D118" i="1"/>
  <c r="D126" i="1" s="1"/>
  <c r="D119" i="1"/>
  <c r="B164" i="1"/>
  <c r="AT164" i="1" s="1"/>
  <c r="B160" i="1"/>
  <c r="D160" i="1"/>
  <c r="B167" i="1"/>
  <c r="G158" i="1"/>
  <c r="E160" i="1"/>
  <c r="G157" i="1"/>
  <c r="K159" i="1"/>
  <c r="K116" i="1"/>
  <c r="K124" i="1" s="1"/>
  <c r="K117" i="1"/>
  <c r="K125" i="1" s="1"/>
  <c r="K120" i="1"/>
  <c r="K128" i="1" s="1"/>
  <c r="M149" i="1"/>
  <c r="K150" i="1"/>
  <c r="M150" i="1"/>
  <c r="K151" i="1"/>
  <c r="M116" i="1"/>
  <c r="M117" i="1"/>
  <c r="M120" i="1"/>
  <c r="M128" i="1" s="1"/>
  <c r="K152" i="1"/>
  <c r="M152" i="1"/>
  <c r="K153" i="1"/>
  <c r="M153" i="1"/>
  <c r="H159" i="1"/>
  <c r="J159" i="1"/>
  <c r="E159" i="1"/>
  <c r="G159" i="1"/>
  <c r="H157" i="1"/>
  <c r="J157" i="1"/>
  <c r="K118" i="1"/>
  <c r="K126" i="1" s="1"/>
  <c r="K119" i="1"/>
  <c r="K127" i="1" s="1"/>
  <c r="M118" i="1"/>
  <c r="M119" i="1"/>
  <c r="K160" i="1"/>
  <c r="M160" i="1"/>
  <c r="H160" i="1"/>
  <c r="S116" i="1"/>
  <c r="S117" i="1"/>
  <c r="S125" i="1" s="1"/>
  <c r="S118" i="1"/>
  <c r="S126" i="1" s="1"/>
  <c r="S119" i="1"/>
  <c r="S120" i="1"/>
  <c r="N157" i="1"/>
  <c r="P157" i="1"/>
  <c r="M157" i="1"/>
  <c r="Q116" i="1"/>
  <c r="Q117" i="1"/>
  <c r="Q118" i="1"/>
  <c r="Q119" i="1"/>
  <c r="Q120" i="1"/>
  <c r="AC161" i="1"/>
  <c r="AE161" i="1"/>
  <c r="Z161" i="1"/>
  <c r="AB161" i="1"/>
  <c r="W161" i="1"/>
  <c r="Y161" i="1"/>
  <c r="T161" i="1"/>
  <c r="V161" i="1"/>
  <c r="Q161" i="1"/>
  <c r="S161" i="1"/>
  <c r="N161" i="1"/>
  <c r="P161" i="1"/>
  <c r="K161" i="1"/>
  <c r="M161" i="1"/>
  <c r="H161" i="1"/>
  <c r="J161" i="1"/>
  <c r="E161" i="1"/>
  <c r="G161" i="1"/>
  <c r="B161" i="1"/>
  <c r="D161" i="1"/>
  <c r="E101" i="1"/>
  <c r="B168" i="1" s="1"/>
  <c r="C168" i="1" s="1"/>
  <c r="AC160" i="1"/>
  <c r="AE160" i="1"/>
  <c r="Z160" i="1"/>
  <c r="AB160" i="1"/>
  <c r="W160" i="1"/>
  <c r="Y160" i="1"/>
  <c r="T160" i="1"/>
  <c r="V160" i="1"/>
  <c r="Q160" i="1"/>
  <c r="S160" i="1"/>
  <c r="N160" i="1"/>
  <c r="AC159" i="1"/>
  <c r="AE159" i="1"/>
  <c r="Z159" i="1"/>
  <c r="AB159" i="1"/>
  <c r="W159" i="1"/>
  <c r="Y159" i="1"/>
  <c r="T159" i="1"/>
  <c r="V159" i="1"/>
  <c r="Q159" i="1"/>
  <c r="S159" i="1"/>
  <c r="P159" i="1"/>
  <c r="AC158" i="1"/>
  <c r="AE158" i="1"/>
  <c r="Z158" i="1"/>
  <c r="AB158" i="1"/>
  <c r="W158" i="1"/>
  <c r="Y158" i="1"/>
  <c r="T158" i="1"/>
  <c r="V158" i="1"/>
  <c r="Q158" i="1"/>
  <c r="S149" i="1"/>
  <c r="Q150" i="1"/>
  <c r="S150" i="1"/>
  <c r="Q151" i="1"/>
  <c r="S151" i="1"/>
  <c r="Q152" i="1"/>
  <c r="S152" i="1"/>
  <c r="Q153" i="1"/>
  <c r="S153" i="1"/>
  <c r="AT165" i="1"/>
  <c r="AC157" i="1"/>
  <c r="AE157" i="1"/>
  <c r="Z157" i="1"/>
  <c r="AB157" i="1"/>
  <c r="W157" i="1"/>
  <c r="Y157" i="1"/>
  <c r="T157" i="1"/>
  <c r="V157" i="1"/>
  <c r="S157" i="1"/>
  <c r="AC149" i="1"/>
  <c r="AD156" i="1" s="1"/>
  <c r="AE149" i="1"/>
  <c r="AC150" i="1"/>
  <c r="AE150" i="1"/>
  <c r="AC151" i="1"/>
  <c r="AE151" i="1"/>
  <c r="AC152" i="1"/>
  <c r="AE152" i="1"/>
  <c r="AC153" i="1"/>
  <c r="AE153" i="1"/>
  <c r="Z149" i="1"/>
  <c r="AB149" i="1"/>
  <c r="Z150" i="1"/>
  <c r="AB150" i="1"/>
  <c r="Z151" i="1"/>
  <c r="AB151" i="1"/>
  <c r="Z152" i="1"/>
  <c r="AB152" i="1"/>
  <c r="Z153" i="1"/>
  <c r="AB153" i="1"/>
  <c r="W149" i="1"/>
  <c r="Y149" i="1"/>
  <c r="W150" i="1"/>
  <c r="Y150" i="1"/>
  <c r="W151" i="1"/>
  <c r="Y151" i="1"/>
  <c r="W152" i="1"/>
  <c r="Y152" i="1"/>
  <c r="W153" i="1"/>
  <c r="Y153" i="1"/>
  <c r="T149" i="1"/>
  <c r="V149" i="1"/>
  <c r="T150" i="1"/>
  <c r="V150" i="1"/>
  <c r="T151" i="1"/>
  <c r="V151" i="1"/>
  <c r="T152" i="1"/>
  <c r="V152" i="1"/>
  <c r="T153" i="1"/>
  <c r="V153" i="1"/>
  <c r="B147" i="1"/>
  <c r="D147" i="1"/>
  <c r="E147" i="1"/>
  <c r="G147" i="1"/>
  <c r="H147" i="1"/>
  <c r="J147" i="1"/>
  <c r="K147" i="1"/>
  <c r="M147" i="1"/>
  <c r="N147" i="1"/>
  <c r="P147" i="1"/>
  <c r="Q147" i="1"/>
  <c r="S147" i="1"/>
  <c r="T147" i="1"/>
  <c r="V147" i="1"/>
  <c r="W147" i="1"/>
  <c r="Y147" i="1"/>
  <c r="Z147" i="1"/>
  <c r="AB147" i="1"/>
  <c r="AC147" i="1"/>
  <c r="AE147" i="1"/>
  <c r="B146" i="1"/>
  <c r="D146" i="1"/>
  <c r="E146" i="1"/>
  <c r="G124" i="1"/>
  <c r="G127" i="1"/>
  <c r="E128" i="1"/>
  <c r="H146" i="1"/>
  <c r="H124" i="1"/>
  <c r="J124" i="1"/>
  <c r="H126" i="1"/>
  <c r="J127" i="1"/>
  <c r="H128" i="1"/>
  <c r="K146" i="1"/>
  <c r="M146" i="1"/>
  <c r="N146" i="1"/>
  <c r="N125" i="1"/>
  <c r="N126" i="1"/>
  <c r="N128" i="1"/>
  <c r="P128" i="1"/>
  <c r="Q146" i="1"/>
  <c r="S146" i="1"/>
  <c r="T146" i="1"/>
  <c r="V146" i="1"/>
  <c r="W146" i="1"/>
  <c r="Y146" i="1"/>
  <c r="Z146" i="1"/>
  <c r="AB146" i="1"/>
  <c r="AC146" i="1"/>
  <c r="AE146" i="1"/>
  <c r="B145" i="1"/>
  <c r="B124" i="1"/>
  <c r="D124" i="1"/>
  <c r="D125" i="1"/>
  <c r="B126" i="1"/>
  <c r="D127" i="1"/>
  <c r="B128" i="1"/>
  <c r="E145" i="1"/>
  <c r="G145" i="1"/>
  <c r="H145" i="1"/>
  <c r="J145" i="1"/>
  <c r="K145" i="1"/>
  <c r="M124" i="1"/>
  <c r="M125" i="1"/>
  <c r="M126" i="1"/>
  <c r="M127" i="1"/>
  <c r="P145" i="1"/>
  <c r="Q145" i="1"/>
  <c r="S145" i="1"/>
  <c r="T145" i="1"/>
  <c r="V145" i="1"/>
  <c r="W145" i="1"/>
  <c r="Y145" i="1"/>
  <c r="Z145" i="1"/>
  <c r="AB145" i="1"/>
  <c r="AC145" i="1"/>
  <c r="AE145" i="1"/>
  <c r="D144" i="1"/>
  <c r="E144" i="1"/>
  <c r="G144" i="1"/>
  <c r="J144" i="1"/>
  <c r="K144" i="1"/>
  <c r="M144" i="1"/>
  <c r="N144" i="1"/>
  <c r="P144" i="1"/>
  <c r="Q144" i="1"/>
  <c r="Q124" i="1"/>
  <c r="S124" i="1"/>
  <c r="Q126" i="1"/>
  <c r="S127" i="1"/>
  <c r="Q128" i="1"/>
  <c r="S128" i="1"/>
  <c r="T144" i="1"/>
  <c r="V144" i="1"/>
  <c r="W144" i="1"/>
  <c r="Y144" i="1"/>
  <c r="Z144" i="1"/>
  <c r="AB144" i="1"/>
  <c r="AC144" i="1"/>
  <c r="AE144" i="1"/>
  <c r="B143" i="1"/>
  <c r="D143" i="1"/>
  <c r="G143" i="1"/>
  <c r="H143" i="1"/>
  <c r="J143" i="1"/>
  <c r="M143" i="1"/>
  <c r="N143" i="1"/>
  <c r="P143" i="1"/>
  <c r="S143" i="1"/>
  <c r="T143" i="1"/>
  <c r="V143" i="1"/>
  <c r="W143" i="1"/>
  <c r="Y143" i="1"/>
  <c r="Z143" i="1"/>
  <c r="AB143" i="1"/>
  <c r="AC143" i="1"/>
  <c r="AE143" i="1"/>
  <c r="B141" i="1"/>
  <c r="D141" i="1"/>
  <c r="E141" i="1"/>
  <c r="G141" i="1"/>
  <c r="H141" i="1"/>
  <c r="J141" i="1"/>
  <c r="K141" i="1"/>
  <c r="M141" i="1"/>
  <c r="N141" i="1"/>
  <c r="P141" i="1"/>
  <c r="Q141" i="1"/>
  <c r="S141" i="1"/>
  <c r="T141" i="1"/>
  <c r="V141" i="1"/>
  <c r="W141" i="1"/>
  <c r="Y141" i="1"/>
  <c r="Z141" i="1"/>
  <c r="AB141" i="1"/>
  <c r="AC141" i="1"/>
  <c r="AE141" i="1"/>
  <c r="B140" i="1"/>
  <c r="D140" i="1"/>
  <c r="E140" i="1"/>
  <c r="H140" i="1"/>
  <c r="K140" i="1"/>
  <c r="M140" i="1"/>
  <c r="N140" i="1"/>
  <c r="Q140" i="1"/>
  <c r="S140" i="1"/>
  <c r="T140" i="1"/>
  <c r="V140" i="1"/>
  <c r="W140" i="1"/>
  <c r="Y140" i="1"/>
  <c r="Z140" i="1"/>
  <c r="AB140" i="1"/>
  <c r="AC140" i="1"/>
  <c r="AE140" i="1"/>
  <c r="B139" i="1"/>
  <c r="E139" i="1"/>
  <c r="G139" i="1"/>
  <c r="H139" i="1"/>
  <c r="J139" i="1"/>
  <c r="K139" i="1"/>
  <c r="P139" i="1"/>
  <c r="Q139" i="1"/>
  <c r="S139" i="1"/>
  <c r="T139" i="1"/>
  <c r="V139" i="1"/>
  <c r="W139" i="1"/>
  <c r="Y139" i="1"/>
  <c r="Z139" i="1"/>
  <c r="AB139" i="1"/>
  <c r="AC139" i="1"/>
  <c r="AE139" i="1"/>
  <c r="D138" i="1"/>
  <c r="E138" i="1"/>
  <c r="G138" i="1"/>
  <c r="J138" i="1"/>
  <c r="K138" i="1"/>
  <c r="M138" i="1"/>
  <c r="N138" i="1"/>
  <c r="P138" i="1"/>
  <c r="Q138" i="1"/>
  <c r="T138" i="1"/>
  <c r="V138" i="1"/>
  <c r="W138" i="1"/>
  <c r="Y138" i="1"/>
  <c r="Z138" i="1"/>
  <c r="AB138" i="1"/>
  <c r="AC138" i="1"/>
  <c r="AE138" i="1"/>
  <c r="B137" i="1"/>
  <c r="D137" i="1"/>
  <c r="G137" i="1"/>
  <c r="H137" i="1"/>
  <c r="J137" i="1"/>
  <c r="M137" i="1"/>
  <c r="N137" i="1"/>
  <c r="P137" i="1"/>
  <c r="S137" i="1"/>
  <c r="T137" i="1"/>
  <c r="V137" i="1"/>
  <c r="W137" i="1"/>
  <c r="Y137" i="1"/>
  <c r="Z137" i="1"/>
  <c r="AB137" i="1"/>
  <c r="AC137" i="1"/>
  <c r="AE137" i="1"/>
  <c r="B135" i="1"/>
  <c r="D135" i="1"/>
  <c r="E135" i="1"/>
  <c r="G135" i="1"/>
  <c r="H135" i="1"/>
  <c r="J135" i="1"/>
  <c r="K135" i="1"/>
  <c r="M135" i="1"/>
  <c r="N135" i="1"/>
  <c r="P135" i="1"/>
  <c r="Q135" i="1"/>
  <c r="S135" i="1"/>
  <c r="T135" i="1"/>
  <c r="V135" i="1"/>
  <c r="W135" i="1"/>
  <c r="Y135" i="1"/>
  <c r="Z135" i="1"/>
  <c r="AB135" i="1"/>
  <c r="AC135" i="1"/>
  <c r="AE135" i="1"/>
  <c r="B134" i="1"/>
  <c r="D134" i="1"/>
  <c r="E134" i="1"/>
  <c r="H134" i="1"/>
  <c r="K134" i="1"/>
  <c r="M134" i="1"/>
  <c r="N134" i="1"/>
  <c r="Q134" i="1"/>
  <c r="S134" i="1"/>
  <c r="T134" i="1"/>
  <c r="V134" i="1"/>
  <c r="W134" i="1"/>
  <c r="Y134" i="1"/>
  <c r="Z134" i="1"/>
  <c r="AB134" i="1"/>
  <c r="AC134" i="1"/>
  <c r="AE134" i="1"/>
  <c r="B133" i="1"/>
  <c r="E133" i="1"/>
  <c r="G133" i="1"/>
  <c r="H133" i="1"/>
  <c r="J133" i="1"/>
  <c r="K133" i="1"/>
  <c r="P133" i="1"/>
  <c r="Q133" i="1"/>
  <c r="S133" i="1"/>
  <c r="T133" i="1"/>
  <c r="V133" i="1"/>
  <c r="W133" i="1"/>
  <c r="Y133" i="1"/>
  <c r="Z133" i="1"/>
  <c r="AB133" i="1"/>
  <c r="AC133" i="1"/>
  <c r="AE133" i="1"/>
  <c r="D132" i="1"/>
  <c r="E132" i="1"/>
  <c r="G132" i="1"/>
  <c r="J132" i="1"/>
  <c r="K132" i="1"/>
  <c r="M132" i="1"/>
  <c r="N132" i="1"/>
  <c r="P132" i="1"/>
  <c r="Q132" i="1"/>
  <c r="T132" i="1"/>
  <c r="V132" i="1"/>
  <c r="W132" i="1"/>
  <c r="Y132" i="1"/>
  <c r="Z132" i="1"/>
  <c r="AB132" i="1"/>
  <c r="AC132" i="1"/>
  <c r="AE132" i="1"/>
  <c r="B131" i="1"/>
  <c r="D131" i="1"/>
  <c r="G131" i="1"/>
  <c r="H131" i="1"/>
  <c r="J131" i="1"/>
  <c r="M131" i="1"/>
  <c r="N131" i="1"/>
  <c r="P131" i="1"/>
  <c r="S131" i="1"/>
  <c r="T131" i="1"/>
  <c r="V131" i="1"/>
  <c r="W131" i="1"/>
  <c r="Y131" i="1"/>
  <c r="Z131" i="1"/>
  <c r="AB131" i="1"/>
  <c r="AC131" i="1"/>
  <c r="AE131" i="1"/>
  <c r="AC124" i="1"/>
  <c r="AC125" i="1"/>
  <c r="AE125" i="1"/>
  <c r="AE126" i="1"/>
  <c r="AC128" i="1"/>
  <c r="Z124" i="1"/>
  <c r="Z125" i="1"/>
  <c r="AB126" i="1"/>
  <c r="AB127" i="1"/>
  <c r="Z128" i="1"/>
  <c r="W125" i="1"/>
  <c r="Y125" i="1"/>
  <c r="Y126" i="1"/>
  <c r="Y128" i="1"/>
  <c r="T124" i="1"/>
  <c r="T125" i="1"/>
  <c r="V126" i="1"/>
  <c r="T127" i="1"/>
  <c r="V127" i="1"/>
  <c r="T128" i="1"/>
  <c r="V128" i="1"/>
  <c r="AE115" i="1"/>
  <c r="AC115" i="1"/>
  <c r="AB115" i="1"/>
  <c r="Z115" i="1"/>
  <c r="Y115" i="1"/>
  <c r="W115" i="1"/>
  <c r="V115" i="1"/>
  <c r="T115" i="1"/>
  <c r="S115" i="1"/>
  <c r="Q115" i="1"/>
  <c r="P115" i="1"/>
  <c r="N115" i="1"/>
  <c r="AK111" i="1" s="1"/>
  <c r="M115" i="1"/>
  <c r="K115" i="1"/>
  <c r="J115" i="1"/>
  <c r="H115" i="1"/>
  <c r="G115" i="1"/>
  <c r="E115" i="1"/>
  <c r="D115" i="1"/>
  <c r="B115" i="1"/>
  <c r="AD114" i="1"/>
  <c r="AA114" i="1"/>
  <c r="X114" i="1"/>
  <c r="U114" i="1"/>
  <c r="R114" i="1"/>
  <c r="O114" i="1"/>
  <c r="L114" i="1"/>
  <c r="I114" i="1"/>
  <c r="F114" i="1"/>
  <c r="A114" i="1"/>
  <c r="AG113" i="1"/>
  <c r="AH113" i="1"/>
  <c r="AI113" i="1"/>
  <c r="AJ113" i="1"/>
  <c r="AK113" i="1"/>
  <c r="AL113" i="1"/>
  <c r="AM113" i="1"/>
  <c r="AN113" i="1"/>
  <c r="AO113" i="1"/>
  <c r="AP113" i="1"/>
  <c r="AF113" i="1"/>
  <c r="AD113" i="1"/>
  <c r="AA113" i="1"/>
  <c r="X113" i="1"/>
  <c r="U113" i="1"/>
  <c r="R113" i="1"/>
  <c r="O113" i="1"/>
  <c r="L113" i="1"/>
  <c r="I113" i="1"/>
  <c r="F113" i="1"/>
  <c r="A113" i="1"/>
  <c r="AG112" i="1"/>
  <c r="AJ112" i="1"/>
  <c r="AL112" i="1"/>
  <c r="AM112" i="1"/>
  <c r="AN112" i="1"/>
  <c r="AO112" i="1"/>
  <c r="AP112" i="1"/>
  <c r="AF112" i="1"/>
  <c r="AD112" i="1"/>
  <c r="AA112" i="1"/>
  <c r="X112" i="1"/>
  <c r="U112" i="1"/>
  <c r="R112" i="1"/>
  <c r="O112" i="1"/>
  <c r="L112" i="1"/>
  <c r="I112" i="1"/>
  <c r="F112" i="1"/>
  <c r="A112" i="1"/>
  <c r="AH111" i="1"/>
  <c r="AI111" i="1"/>
  <c r="AL111" i="1"/>
  <c r="AM111" i="1"/>
  <c r="AN111" i="1"/>
  <c r="AO111" i="1"/>
  <c r="AP111" i="1"/>
  <c r="AF111" i="1"/>
  <c r="AD111" i="1"/>
  <c r="AA111" i="1"/>
  <c r="X111" i="1"/>
  <c r="U111" i="1"/>
  <c r="A111" i="1"/>
  <c r="AH110" i="1"/>
  <c r="AJ110" i="1"/>
  <c r="AK110" i="1"/>
  <c r="AM110" i="1"/>
  <c r="AN110" i="1"/>
  <c r="AO110" i="1"/>
  <c r="AP110" i="1"/>
  <c r="AF110" i="1"/>
  <c r="AD110" i="1"/>
  <c r="AA110" i="1"/>
  <c r="X110" i="1"/>
  <c r="U110" i="1"/>
  <c r="AG109" i="1"/>
  <c r="AI109" i="1"/>
  <c r="AK109" i="1"/>
  <c r="AM109" i="1"/>
  <c r="AN109" i="1"/>
  <c r="AO109" i="1"/>
  <c r="AP109" i="1"/>
  <c r="AF109" i="1"/>
  <c r="AD109" i="1"/>
  <c r="AA109" i="1"/>
  <c r="X109" i="1"/>
  <c r="U109" i="1"/>
  <c r="AC107" i="1"/>
  <c r="Z107" i="1"/>
  <c r="W107" i="1"/>
  <c r="T107" i="1"/>
  <c r="E102" i="1"/>
  <c r="A101" i="1"/>
  <c r="A99" i="1"/>
  <c r="A97" i="1"/>
  <c r="A95" i="1"/>
  <c r="A93" i="1"/>
  <c r="R92" i="1"/>
  <c r="L92" i="1"/>
  <c r="K91" i="1"/>
  <c r="A89" i="1"/>
  <c r="AE85" i="1"/>
  <c r="AE31" i="1"/>
  <c r="AE39" i="1" s="1"/>
  <c r="AE32" i="1"/>
  <c r="AE33" i="1"/>
  <c r="AE41" i="1" s="1"/>
  <c r="AE34" i="1"/>
  <c r="AE35" i="1"/>
  <c r="AC85" i="1"/>
  <c r="AC31" i="1"/>
  <c r="AC32" i="1"/>
  <c r="AC33" i="1"/>
  <c r="AC41" i="1" s="1"/>
  <c r="AC34" i="1"/>
  <c r="AC42" i="1" s="1"/>
  <c r="AC35" i="1"/>
  <c r="AB85" i="1"/>
  <c r="AB31" i="1"/>
  <c r="AB39" i="1" s="1"/>
  <c r="AB32" i="1"/>
  <c r="AB40" i="1" s="1"/>
  <c r="AB33" i="1"/>
  <c r="AB34" i="1"/>
  <c r="AB35" i="1"/>
  <c r="Z85" i="1"/>
  <c r="Z31" i="1"/>
  <c r="Z32" i="1"/>
  <c r="Z33" i="1"/>
  <c r="Z34" i="1"/>
  <c r="Z42" i="1" s="1"/>
  <c r="Z35" i="1"/>
  <c r="Y85" i="1"/>
  <c r="Y31" i="1"/>
  <c r="Y36" i="1" s="1"/>
  <c r="Y32" i="1"/>
  <c r="Y33" i="1"/>
  <c r="Y34" i="1"/>
  <c r="Y35" i="1"/>
  <c r="Y43" i="1" s="1"/>
  <c r="W85" i="1"/>
  <c r="W31" i="1"/>
  <c r="W32" i="1"/>
  <c r="W40" i="1" s="1"/>
  <c r="W33" i="1"/>
  <c r="W41" i="1" s="1"/>
  <c r="W34" i="1"/>
  <c r="W35" i="1"/>
  <c r="V85" i="1"/>
  <c r="V31" i="1"/>
  <c r="V39" i="1" s="1"/>
  <c r="V32" i="1"/>
  <c r="V33" i="1"/>
  <c r="V34" i="1"/>
  <c r="V42" i="1" s="1"/>
  <c r="V35" i="1"/>
  <c r="V43" i="1" s="1"/>
  <c r="T85" i="1"/>
  <c r="T31" i="1"/>
  <c r="T32" i="1"/>
  <c r="T40" i="1" s="1"/>
  <c r="T33" i="1"/>
  <c r="T41" i="1" s="1"/>
  <c r="T34" i="1"/>
  <c r="T35" i="1"/>
  <c r="T43" i="1" s="1"/>
  <c r="N73" i="1"/>
  <c r="P73" i="1"/>
  <c r="K73" i="1"/>
  <c r="M73" i="1"/>
  <c r="H64" i="1"/>
  <c r="J64" i="1"/>
  <c r="H31" i="1"/>
  <c r="H32" i="1"/>
  <c r="H33" i="1"/>
  <c r="H41" i="1" s="1"/>
  <c r="H34" i="1"/>
  <c r="H42" i="1" s="1"/>
  <c r="H35" i="1"/>
  <c r="H43" i="1" s="1"/>
  <c r="J65" i="1"/>
  <c r="H66" i="1"/>
  <c r="J66" i="1"/>
  <c r="H67" i="1"/>
  <c r="J31" i="1"/>
  <c r="J39" i="1" s="1"/>
  <c r="J32" i="1"/>
  <c r="J40" i="1" s="1"/>
  <c r="J33" i="1"/>
  <c r="J34" i="1"/>
  <c r="J35" i="1"/>
  <c r="H68" i="1"/>
  <c r="J68" i="1"/>
  <c r="J73" i="1"/>
  <c r="E31" i="1"/>
  <c r="E39" i="1" s="1"/>
  <c r="E32" i="1"/>
  <c r="E40" i="1" s="1"/>
  <c r="E33" i="1"/>
  <c r="E41" i="1" s="1"/>
  <c r="E34" i="1"/>
  <c r="E35" i="1"/>
  <c r="G64" i="1"/>
  <c r="E65" i="1"/>
  <c r="G65" i="1"/>
  <c r="E66" i="1"/>
  <c r="G31" i="1"/>
  <c r="G39" i="1" s="1"/>
  <c r="G32" i="1"/>
  <c r="G33" i="1"/>
  <c r="G34" i="1"/>
  <c r="G35" i="1"/>
  <c r="G43" i="1" s="1"/>
  <c r="G66" i="1"/>
  <c r="E67" i="1"/>
  <c r="E68" i="1"/>
  <c r="G68" i="1"/>
  <c r="E73" i="1"/>
  <c r="B64" i="1"/>
  <c r="D64" i="1"/>
  <c r="B31" i="1"/>
  <c r="B39" i="1" s="1"/>
  <c r="B32" i="1"/>
  <c r="B40" i="1" s="1"/>
  <c r="B33" i="1"/>
  <c r="B34" i="1"/>
  <c r="B35" i="1"/>
  <c r="B43" i="1" s="1"/>
  <c r="D65" i="1"/>
  <c r="B66" i="1"/>
  <c r="D31" i="1"/>
  <c r="D39" i="1" s="1"/>
  <c r="D32" i="1"/>
  <c r="D33" i="1"/>
  <c r="D41" i="1" s="1"/>
  <c r="D34" i="1"/>
  <c r="D35" i="1"/>
  <c r="B67" i="1"/>
  <c r="D67" i="1"/>
  <c r="B68" i="1"/>
  <c r="D68" i="1"/>
  <c r="D73" i="1"/>
  <c r="B80" i="1"/>
  <c r="AT80" i="1" s="1"/>
  <c r="B81" i="1"/>
  <c r="AT81" i="1" s="1"/>
  <c r="B72" i="1"/>
  <c r="D72" i="1"/>
  <c r="B79" i="1"/>
  <c r="B74" i="1"/>
  <c r="AW11" i="1"/>
  <c r="B75" i="1"/>
  <c r="D75" i="1"/>
  <c r="B82" i="1"/>
  <c r="G73" i="1"/>
  <c r="E75" i="1"/>
  <c r="G72" i="1"/>
  <c r="S31" i="1"/>
  <c r="S32" i="1"/>
  <c r="S33" i="1"/>
  <c r="S34" i="1"/>
  <c r="S35" i="1"/>
  <c r="N72" i="1"/>
  <c r="P72" i="1"/>
  <c r="K31" i="1"/>
  <c r="K32" i="1"/>
  <c r="K33" i="1"/>
  <c r="K34" i="1"/>
  <c r="K35" i="1"/>
  <c r="K43" i="1" s="1"/>
  <c r="M64" i="1"/>
  <c r="K65" i="1"/>
  <c r="M65" i="1"/>
  <c r="K66" i="1"/>
  <c r="M31" i="1"/>
  <c r="M32" i="1"/>
  <c r="M40" i="1" s="1"/>
  <c r="M33" i="1"/>
  <c r="M41" i="1" s="1"/>
  <c r="M34" i="1"/>
  <c r="M42" i="1" s="1"/>
  <c r="M35" i="1"/>
  <c r="K67" i="1"/>
  <c r="M67" i="1"/>
  <c r="K68" i="1"/>
  <c r="M68" i="1"/>
  <c r="M72" i="1"/>
  <c r="H72" i="1"/>
  <c r="J72" i="1"/>
  <c r="H74" i="1"/>
  <c r="J74" i="1"/>
  <c r="E74" i="1"/>
  <c r="G74" i="1"/>
  <c r="Q31" i="1"/>
  <c r="Q32" i="1"/>
  <c r="Q33" i="1"/>
  <c r="Q41" i="1" s="1"/>
  <c r="Q34" i="1"/>
  <c r="Q35" i="1"/>
  <c r="K75" i="1"/>
  <c r="M75" i="1"/>
  <c r="H75" i="1"/>
  <c r="P31" i="1"/>
  <c r="P32" i="1"/>
  <c r="P33" i="1"/>
  <c r="P36" i="1" s="1"/>
  <c r="P34" i="1"/>
  <c r="P35" i="1"/>
  <c r="K74" i="1"/>
  <c r="N31" i="1"/>
  <c r="N32" i="1"/>
  <c r="N33" i="1"/>
  <c r="N41" i="1" s="1"/>
  <c r="N34" i="1"/>
  <c r="N35" i="1"/>
  <c r="N43" i="1" s="1"/>
  <c r="AC76" i="1"/>
  <c r="AE76" i="1"/>
  <c r="Z76" i="1"/>
  <c r="AB76" i="1"/>
  <c r="W76" i="1"/>
  <c r="Y76" i="1"/>
  <c r="T76" i="1"/>
  <c r="V76" i="1"/>
  <c r="Q76" i="1"/>
  <c r="S76" i="1"/>
  <c r="N76" i="1"/>
  <c r="P76" i="1"/>
  <c r="K76" i="1"/>
  <c r="M76" i="1"/>
  <c r="H76" i="1"/>
  <c r="J76" i="1"/>
  <c r="E76" i="1"/>
  <c r="G76" i="1"/>
  <c r="B76" i="1"/>
  <c r="D76" i="1"/>
  <c r="E16" i="1"/>
  <c r="B83" i="1"/>
  <c r="C83" i="1" s="1"/>
  <c r="AC75" i="1"/>
  <c r="AE75" i="1"/>
  <c r="Z75" i="1"/>
  <c r="AB75" i="1"/>
  <c r="W75" i="1"/>
  <c r="Y75" i="1"/>
  <c r="T75" i="1"/>
  <c r="V75" i="1"/>
  <c r="Q75" i="1"/>
  <c r="S75" i="1"/>
  <c r="N75" i="1"/>
  <c r="N64" i="1"/>
  <c r="P64" i="1"/>
  <c r="N65" i="1"/>
  <c r="P65" i="1"/>
  <c r="P66" i="1"/>
  <c r="N67" i="1"/>
  <c r="N68" i="1"/>
  <c r="P68" i="1"/>
  <c r="AC74" i="1"/>
  <c r="AE74" i="1"/>
  <c r="Z74" i="1"/>
  <c r="AB74" i="1"/>
  <c r="W74" i="1"/>
  <c r="Y74" i="1"/>
  <c r="T74" i="1"/>
  <c r="V74" i="1"/>
  <c r="Q74" i="1"/>
  <c r="S74" i="1"/>
  <c r="P74" i="1"/>
  <c r="AC73" i="1"/>
  <c r="AE73" i="1"/>
  <c r="Z73" i="1"/>
  <c r="AB73" i="1"/>
  <c r="W73" i="1"/>
  <c r="Y73" i="1"/>
  <c r="T73" i="1"/>
  <c r="V73" i="1"/>
  <c r="Q73" i="1"/>
  <c r="S64" i="1"/>
  <c r="Q65" i="1"/>
  <c r="Q66" i="1"/>
  <c r="S66" i="1"/>
  <c r="Q67" i="1"/>
  <c r="S67" i="1"/>
  <c r="Q68" i="1"/>
  <c r="S68" i="1"/>
  <c r="AC72" i="1"/>
  <c r="AE72" i="1"/>
  <c r="Z72" i="1"/>
  <c r="AB72" i="1"/>
  <c r="W72" i="1"/>
  <c r="Y72" i="1"/>
  <c r="T72" i="1"/>
  <c r="V72" i="1"/>
  <c r="S72" i="1"/>
  <c r="AT79" i="1"/>
  <c r="AC64" i="1"/>
  <c r="AE64" i="1"/>
  <c r="AC65" i="1"/>
  <c r="AE65" i="1"/>
  <c r="AC66" i="1"/>
  <c r="AE66" i="1"/>
  <c r="AC67" i="1"/>
  <c r="AE67" i="1"/>
  <c r="AC68" i="1"/>
  <c r="AE68" i="1"/>
  <c r="Z64" i="1"/>
  <c r="AB64" i="1"/>
  <c r="Z65" i="1"/>
  <c r="AB65" i="1"/>
  <c r="Z66" i="1"/>
  <c r="AB66" i="1"/>
  <c r="Z67" i="1"/>
  <c r="AB67" i="1"/>
  <c r="Z68" i="1"/>
  <c r="AB68" i="1"/>
  <c r="W64" i="1"/>
  <c r="Y64" i="1"/>
  <c r="W65" i="1"/>
  <c r="Y65" i="1"/>
  <c r="W66" i="1"/>
  <c r="Y66" i="1"/>
  <c r="W67" i="1"/>
  <c r="Y67" i="1"/>
  <c r="W68" i="1"/>
  <c r="Y68" i="1"/>
  <c r="T64" i="1"/>
  <c r="V64" i="1"/>
  <c r="T65" i="1"/>
  <c r="V65" i="1"/>
  <c r="T66" i="1"/>
  <c r="V66" i="1"/>
  <c r="T67" i="1"/>
  <c r="V67" i="1"/>
  <c r="T68" i="1"/>
  <c r="V68" i="1"/>
  <c r="B62" i="1"/>
  <c r="D62" i="1"/>
  <c r="E62" i="1"/>
  <c r="G62" i="1"/>
  <c r="H62" i="1"/>
  <c r="J62" i="1"/>
  <c r="K62" i="1"/>
  <c r="M62" i="1"/>
  <c r="N62" i="1"/>
  <c r="P62" i="1"/>
  <c r="Q62" i="1"/>
  <c r="S62" i="1"/>
  <c r="T62" i="1"/>
  <c r="V62" i="1"/>
  <c r="W62" i="1"/>
  <c r="Y62" i="1"/>
  <c r="Z62" i="1"/>
  <c r="AB62" i="1"/>
  <c r="AC62" i="1"/>
  <c r="AE62" i="1"/>
  <c r="B61" i="1"/>
  <c r="D61" i="1"/>
  <c r="E61" i="1"/>
  <c r="G41" i="1"/>
  <c r="G42" i="1"/>
  <c r="E43" i="1"/>
  <c r="H61" i="1"/>
  <c r="H40" i="1"/>
  <c r="J42" i="1"/>
  <c r="J43" i="1"/>
  <c r="K61" i="1"/>
  <c r="M61" i="1"/>
  <c r="N61" i="1"/>
  <c r="N39" i="1"/>
  <c r="P39" i="1"/>
  <c r="N42" i="1"/>
  <c r="P42" i="1"/>
  <c r="P43" i="1"/>
  <c r="Q61" i="1"/>
  <c r="S61" i="1"/>
  <c r="T61" i="1"/>
  <c r="V61" i="1"/>
  <c r="W61" i="1"/>
  <c r="Y61" i="1"/>
  <c r="Z61" i="1"/>
  <c r="AB61" i="1"/>
  <c r="AC61" i="1"/>
  <c r="AE61" i="1"/>
  <c r="B60" i="1"/>
  <c r="D40" i="1"/>
  <c r="B41" i="1"/>
  <c r="D43" i="1"/>
  <c r="E60" i="1"/>
  <c r="G60" i="1"/>
  <c r="H60" i="1"/>
  <c r="J60" i="1"/>
  <c r="K60" i="1"/>
  <c r="K39" i="1"/>
  <c r="M39" i="1"/>
  <c r="K40" i="1"/>
  <c r="K41" i="1"/>
  <c r="M43" i="1"/>
  <c r="P60" i="1"/>
  <c r="Q60" i="1"/>
  <c r="S60" i="1"/>
  <c r="T60" i="1"/>
  <c r="V60" i="1"/>
  <c r="W60" i="1"/>
  <c r="Y60" i="1"/>
  <c r="Z60" i="1"/>
  <c r="AB60" i="1"/>
  <c r="AC60" i="1"/>
  <c r="AE60" i="1"/>
  <c r="D59" i="1"/>
  <c r="E59" i="1"/>
  <c r="G59" i="1"/>
  <c r="J59" i="1"/>
  <c r="K59" i="1"/>
  <c r="M59" i="1"/>
  <c r="N59" i="1"/>
  <c r="P59" i="1"/>
  <c r="Q59" i="1"/>
  <c r="Q39" i="1"/>
  <c r="S39" i="1"/>
  <c r="S40" i="1"/>
  <c r="S41" i="1"/>
  <c r="Q42" i="1"/>
  <c r="Q43" i="1"/>
  <c r="S43" i="1"/>
  <c r="T59" i="1"/>
  <c r="V59" i="1"/>
  <c r="W59" i="1"/>
  <c r="Y59" i="1"/>
  <c r="Z59" i="1"/>
  <c r="AB59" i="1"/>
  <c r="AC59" i="1"/>
  <c r="AE59" i="1"/>
  <c r="B58" i="1"/>
  <c r="D58" i="1"/>
  <c r="G58" i="1"/>
  <c r="H58" i="1"/>
  <c r="J58" i="1"/>
  <c r="M58" i="1"/>
  <c r="N58" i="1"/>
  <c r="P58" i="1"/>
  <c r="S58" i="1"/>
  <c r="T58" i="1"/>
  <c r="V58" i="1"/>
  <c r="W58" i="1"/>
  <c r="Y58" i="1"/>
  <c r="Z58" i="1"/>
  <c r="AB58" i="1"/>
  <c r="AC58" i="1"/>
  <c r="AE58" i="1"/>
  <c r="B56" i="1"/>
  <c r="D56" i="1"/>
  <c r="E56" i="1"/>
  <c r="G56" i="1"/>
  <c r="H56" i="1"/>
  <c r="J56" i="1"/>
  <c r="K56" i="1"/>
  <c r="M56" i="1"/>
  <c r="N56" i="1"/>
  <c r="P56" i="1"/>
  <c r="Q56" i="1"/>
  <c r="S56" i="1"/>
  <c r="T56" i="1"/>
  <c r="V56" i="1"/>
  <c r="W56" i="1"/>
  <c r="Y56" i="1"/>
  <c r="Z56" i="1"/>
  <c r="AB56" i="1"/>
  <c r="AC56" i="1"/>
  <c r="AE56" i="1"/>
  <c r="B55" i="1"/>
  <c r="D55" i="1"/>
  <c r="E55" i="1"/>
  <c r="H55" i="1"/>
  <c r="K55" i="1"/>
  <c r="M55" i="1"/>
  <c r="N55" i="1"/>
  <c r="Q55" i="1"/>
  <c r="S55" i="1"/>
  <c r="T55" i="1"/>
  <c r="V55" i="1"/>
  <c r="W55" i="1"/>
  <c r="Y55" i="1"/>
  <c r="Z55" i="1"/>
  <c r="AB55" i="1"/>
  <c r="AC55" i="1"/>
  <c r="AE55" i="1"/>
  <c r="B54" i="1"/>
  <c r="E54" i="1"/>
  <c r="G54" i="1"/>
  <c r="H54" i="1"/>
  <c r="J54" i="1"/>
  <c r="K54" i="1"/>
  <c r="P54" i="1"/>
  <c r="Q54" i="1"/>
  <c r="S54" i="1"/>
  <c r="T54" i="1"/>
  <c r="V54" i="1"/>
  <c r="W54" i="1"/>
  <c r="Y54" i="1"/>
  <c r="Z54" i="1"/>
  <c r="AB54" i="1"/>
  <c r="AC54" i="1"/>
  <c r="AE54" i="1"/>
  <c r="D53" i="1"/>
  <c r="E53" i="1"/>
  <c r="G53" i="1"/>
  <c r="J53" i="1"/>
  <c r="K53" i="1"/>
  <c r="M53" i="1"/>
  <c r="N53" i="1"/>
  <c r="P53" i="1"/>
  <c r="Q53" i="1"/>
  <c r="T53" i="1"/>
  <c r="V53" i="1"/>
  <c r="W53" i="1"/>
  <c r="Y53" i="1"/>
  <c r="Z53" i="1"/>
  <c r="AB53" i="1"/>
  <c r="AC53" i="1"/>
  <c r="AE53" i="1"/>
  <c r="B52" i="1"/>
  <c r="D52" i="1"/>
  <c r="G52" i="1"/>
  <c r="H52" i="1"/>
  <c r="J52" i="1"/>
  <c r="M52" i="1"/>
  <c r="N52" i="1"/>
  <c r="P52" i="1"/>
  <c r="S52" i="1"/>
  <c r="T52" i="1"/>
  <c r="V52" i="1"/>
  <c r="W52" i="1"/>
  <c r="Y52" i="1"/>
  <c r="Z52" i="1"/>
  <c r="AB52" i="1"/>
  <c r="AC52" i="1"/>
  <c r="AE52" i="1"/>
  <c r="B50" i="1"/>
  <c r="D50" i="1"/>
  <c r="E50" i="1"/>
  <c r="G50" i="1"/>
  <c r="H50" i="1"/>
  <c r="J50" i="1"/>
  <c r="K50" i="1"/>
  <c r="M50" i="1"/>
  <c r="N50" i="1"/>
  <c r="P50" i="1"/>
  <c r="Q50" i="1"/>
  <c r="S50" i="1"/>
  <c r="T50" i="1"/>
  <c r="V50" i="1"/>
  <c r="W50" i="1"/>
  <c r="Y50" i="1"/>
  <c r="Z50" i="1"/>
  <c r="AB50" i="1"/>
  <c r="AC50" i="1"/>
  <c r="AE50" i="1"/>
  <c r="B49" i="1"/>
  <c r="D49" i="1"/>
  <c r="E49" i="1"/>
  <c r="H49" i="1"/>
  <c r="K49" i="1"/>
  <c r="M49" i="1"/>
  <c r="N49" i="1"/>
  <c r="Q49" i="1"/>
  <c r="S49" i="1"/>
  <c r="T49" i="1"/>
  <c r="V49" i="1"/>
  <c r="W49" i="1"/>
  <c r="Y49" i="1"/>
  <c r="Z49" i="1"/>
  <c r="AB49" i="1"/>
  <c r="AC49" i="1"/>
  <c r="AE49" i="1"/>
  <c r="B48" i="1"/>
  <c r="E48" i="1"/>
  <c r="G48" i="1"/>
  <c r="H48" i="1"/>
  <c r="J48" i="1"/>
  <c r="K48" i="1"/>
  <c r="P48" i="1"/>
  <c r="Q48" i="1"/>
  <c r="S48" i="1"/>
  <c r="T48" i="1"/>
  <c r="V48" i="1"/>
  <c r="W48" i="1"/>
  <c r="Y48" i="1"/>
  <c r="Z48" i="1"/>
  <c r="AB48" i="1"/>
  <c r="AC48" i="1"/>
  <c r="AE48" i="1"/>
  <c r="D47" i="1"/>
  <c r="E47" i="1"/>
  <c r="G47" i="1"/>
  <c r="J47" i="1"/>
  <c r="K47" i="1"/>
  <c r="M47" i="1"/>
  <c r="N47" i="1"/>
  <c r="P47" i="1"/>
  <c r="Q47" i="1"/>
  <c r="T47" i="1"/>
  <c r="V47" i="1"/>
  <c r="W47" i="1"/>
  <c r="Y47" i="1"/>
  <c r="Z47" i="1"/>
  <c r="AB47" i="1"/>
  <c r="AC47" i="1"/>
  <c r="AE47" i="1"/>
  <c r="B46" i="1"/>
  <c r="D46" i="1"/>
  <c r="G46" i="1"/>
  <c r="H46" i="1"/>
  <c r="J46" i="1"/>
  <c r="M46" i="1"/>
  <c r="N46" i="1"/>
  <c r="P46" i="1"/>
  <c r="S46" i="1"/>
  <c r="T46" i="1"/>
  <c r="V46" i="1"/>
  <c r="W46" i="1"/>
  <c r="Y46" i="1"/>
  <c r="Z46" i="1"/>
  <c r="AB46" i="1"/>
  <c r="AC46" i="1"/>
  <c r="AE46" i="1"/>
  <c r="AC39" i="1"/>
  <c r="AC40" i="1"/>
  <c r="AE40" i="1"/>
  <c r="AE42" i="1"/>
  <c r="AC43" i="1"/>
  <c r="AE43" i="1"/>
  <c r="Z39" i="1"/>
  <c r="Z40" i="1"/>
  <c r="Z41" i="1"/>
  <c r="AB41" i="1"/>
  <c r="AB42" i="1"/>
  <c r="Z43" i="1"/>
  <c r="AB43" i="1"/>
  <c r="W39" i="1"/>
  <c r="Y40" i="1"/>
  <c r="Y41" i="1"/>
  <c r="W42" i="1"/>
  <c r="Y42" i="1"/>
  <c r="W43" i="1"/>
  <c r="V40" i="1"/>
  <c r="V41" i="1"/>
  <c r="T42" i="1"/>
  <c r="AE30" i="1"/>
  <c r="AC30" i="1"/>
  <c r="AB30" i="1"/>
  <c r="Z30" i="1"/>
  <c r="Y30" i="1"/>
  <c r="W30" i="1"/>
  <c r="V30" i="1"/>
  <c r="T30" i="1"/>
  <c r="S30" i="1"/>
  <c r="Q30" i="1"/>
  <c r="P30" i="1"/>
  <c r="N30" i="1"/>
  <c r="M30" i="1"/>
  <c r="AJ26" i="1" s="1"/>
  <c r="K30" i="1"/>
  <c r="J30" i="1"/>
  <c r="H30" i="1"/>
  <c r="G30" i="1"/>
  <c r="E30" i="1"/>
  <c r="D30" i="1"/>
  <c r="B30" i="1"/>
  <c r="AD29" i="1"/>
  <c r="AA29" i="1"/>
  <c r="X29" i="1"/>
  <c r="U29" i="1"/>
  <c r="R29" i="1"/>
  <c r="O29" i="1"/>
  <c r="L29" i="1"/>
  <c r="I29" i="1"/>
  <c r="F29" i="1"/>
  <c r="A29" i="1"/>
  <c r="AG28" i="1"/>
  <c r="AH28" i="1"/>
  <c r="AI28" i="1"/>
  <c r="AJ28" i="1"/>
  <c r="AK28" i="1"/>
  <c r="AL28" i="1"/>
  <c r="AM28" i="1"/>
  <c r="AN28" i="1"/>
  <c r="AO28" i="1"/>
  <c r="AP28" i="1"/>
  <c r="AF28" i="1"/>
  <c r="AD28" i="1"/>
  <c r="AA28" i="1"/>
  <c r="X28" i="1"/>
  <c r="U28" i="1"/>
  <c r="R28" i="1"/>
  <c r="O28" i="1"/>
  <c r="L28" i="1"/>
  <c r="I28" i="1"/>
  <c r="F28" i="1"/>
  <c r="A28" i="1"/>
  <c r="AG27" i="1"/>
  <c r="AJ27" i="1"/>
  <c r="AL27" i="1"/>
  <c r="AM27" i="1"/>
  <c r="AN27" i="1"/>
  <c r="AO27" i="1"/>
  <c r="AP27" i="1"/>
  <c r="AF27" i="1"/>
  <c r="AD27" i="1"/>
  <c r="AA27" i="1"/>
  <c r="X27" i="1"/>
  <c r="U27" i="1"/>
  <c r="R27" i="1"/>
  <c r="O27" i="1"/>
  <c r="L27" i="1"/>
  <c r="I27" i="1"/>
  <c r="F27" i="1"/>
  <c r="A27" i="1"/>
  <c r="AH26" i="1"/>
  <c r="AI26" i="1"/>
  <c r="AL26" i="1"/>
  <c r="AM26" i="1"/>
  <c r="AN26" i="1"/>
  <c r="AO26" i="1"/>
  <c r="AP26" i="1"/>
  <c r="AF26" i="1"/>
  <c r="AD26" i="1"/>
  <c r="AA26" i="1"/>
  <c r="X26" i="1"/>
  <c r="U26" i="1"/>
  <c r="A26" i="1"/>
  <c r="AG25" i="1"/>
  <c r="AH25" i="1"/>
  <c r="AJ25" i="1"/>
  <c r="AK25" i="1"/>
  <c r="AM25" i="1"/>
  <c r="AN25" i="1"/>
  <c r="AO25" i="1"/>
  <c r="AP25" i="1"/>
  <c r="AF25" i="1"/>
  <c r="AD25" i="1"/>
  <c r="AA25" i="1"/>
  <c r="X25" i="1"/>
  <c r="U25" i="1"/>
  <c r="AG24" i="1"/>
  <c r="AI24" i="1"/>
  <c r="AK24" i="1"/>
  <c r="AM24" i="1"/>
  <c r="AN24" i="1"/>
  <c r="AO24" i="1"/>
  <c r="AP24" i="1"/>
  <c r="AF24" i="1"/>
  <c r="AD24" i="1"/>
  <c r="AA24" i="1"/>
  <c r="X24" i="1"/>
  <c r="U24" i="1"/>
  <c r="AC22" i="1"/>
  <c r="Z22" i="1"/>
  <c r="W22" i="1"/>
  <c r="T22" i="1"/>
  <c r="E17" i="1"/>
  <c r="A16" i="1"/>
  <c r="A14" i="1"/>
  <c r="A12" i="1"/>
  <c r="A10" i="1"/>
  <c r="A8" i="1"/>
  <c r="R7" i="1"/>
  <c r="L7" i="1"/>
  <c r="K6" i="1"/>
  <c r="AF152" i="5" l="1"/>
  <c r="H122" i="5"/>
  <c r="B129" i="5"/>
  <c r="Y86" i="5"/>
  <c r="Y87" i="5" s="1"/>
  <c r="W86" i="5"/>
  <c r="W87" i="5" s="1"/>
  <c r="K37" i="5"/>
  <c r="AC171" i="5"/>
  <c r="AC172" i="5" s="1"/>
  <c r="V86" i="5"/>
  <c r="V87" i="5" s="1"/>
  <c r="AQ25" i="5"/>
  <c r="W10" i="5" s="1"/>
  <c r="AF67" i="5"/>
  <c r="G37" i="5"/>
  <c r="G49" i="5" s="1"/>
  <c r="AG68" i="5"/>
  <c r="F71" i="5"/>
  <c r="G75" i="5" s="1"/>
  <c r="I71" i="5"/>
  <c r="H73" i="5" s="1"/>
  <c r="O71" i="5"/>
  <c r="N74" i="5" s="1"/>
  <c r="B44" i="5"/>
  <c r="B59" i="5" s="1"/>
  <c r="AF64" i="5"/>
  <c r="AQ24" i="5"/>
  <c r="W8" i="5" s="1"/>
  <c r="M122" i="5"/>
  <c r="M133" i="5" s="1"/>
  <c r="N37" i="5"/>
  <c r="N48" i="5" s="1"/>
  <c r="AF65" i="5"/>
  <c r="AA122" i="5"/>
  <c r="N129" i="5"/>
  <c r="P146" i="5" s="1"/>
  <c r="Q122" i="5"/>
  <c r="Q131" i="5" s="1"/>
  <c r="Q44" i="5"/>
  <c r="Q58" i="5" s="1"/>
  <c r="N122" i="5"/>
  <c r="AE122" i="5"/>
  <c r="AF66" i="5"/>
  <c r="G61" i="4"/>
  <c r="E58" i="4"/>
  <c r="Q72" i="4"/>
  <c r="F156" i="4"/>
  <c r="E122" i="4" s="1"/>
  <c r="Z129" i="4"/>
  <c r="AQ25" i="4"/>
  <c r="W10" i="4" s="1"/>
  <c r="AX11" i="4"/>
  <c r="AY11" i="4" s="1"/>
  <c r="AQ26" i="4"/>
  <c r="W12" i="4" s="1"/>
  <c r="W44" i="4"/>
  <c r="H129" i="4"/>
  <c r="N182" i="1"/>
  <c r="P182" i="1"/>
  <c r="P194" i="1" s="1"/>
  <c r="P41" i="1"/>
  <c r="D83" i="1"/>
  <c r="G83" i="1" s="1"/>
  <c r="J83" i="1" s="1"/>
  <c r="M83" i="1" s="1"/>
  <c r="P83" i="1" s="1"/>
  <c r="S83" i="1" s="1"/>
  <c r="V83" i="1" s="1"/>
  <c r="Y83" i="1" s="1"/>
  <c r="AB83" i="1" s="1"/>
  <c r="AE83" i="1" s="1"/>
  <c r="AU83" i="1" s="1"/>
  <c r="Q64" i="1"/>
  <c r="AB121" i="1"/>
  <c r="K184" i="1"/>
  <c r="K189" i="1" s="1"/>
  <c r="AE181" i="1"/>
  <c r="AC182" i="1" s="1"/>
  <c r="AD182" i="1" s="1"/>
  <c r="Y39" i="1"/>
  <c r="W44" i="1" s="1"/>
  <c r="AK112" i="1"/>
  <c r="AH109" i="1"/>
  <c r="AL110" i="1"/>
  <c r="V121" i="1"/>
  <c r="T171" i="1" s="1"/>
  <c r="K181" i="1"/>
  <c r="G182" i="1"/>
  <c r="G193" i="1" s="1"/>
  <c r="V182" i="1"/>
  <c r="U182" i="1" s="1"/>
  <c r="U71" i="1"/>
  <c r="M66" i="1"/>
  <c r="Q189" i="1"/>
  <c r="H185" i="1"/>
  <c r="M182" i="1"/>
  <c r="M193" i="1" s="1"/>
  <c r="S182" i="1"/>
  <c r="S192" i="1" s="1"/>
  <c r="AB182" i="1"/>
  <c r="Z44" i="2"/>
  <c r="W129" i="2"/>
  <c r="C80" i="2"/>
  <c r="B85" i="2" s="1"/>
  <c r="G67" i="2"/>
  <c r="AL24" i="2"/>
  <c r="AC44" i="2"/>
  <c r="K36" i="2"/>
  <c r="K64" i="2"/>
  <c r="J67" i="2"/>
  <c r="AI110" i="2"/>
  <c r="N151" i="2"/>
  <c r="V121" i="2"/>
  <c r="AH24" i="2"/>
  <c r="N36" i="2"/>
  <c r="AC36" i="2"/>
  <c r="AH112" i="2"/>
  <c r="AA156" i="2"/>
  <c r="AB121" i="2"/>
  <c r="P36" i="2"/>
  <c r="N37" i="2" s="1"/>
  <c r="N48" i="2" s="1"/>
  <c r="AB36" i="2"/>
  <c r="AJ24" i="2"/>
  <c r="W41" i="2"/>
  <c r="M66" i="2"/>
  <c r="S65" i="2"/>
  <c r="P152" i="2"/>
  <c r="K40" i="2"/>
  <c r="D40" i="2"/>
  <c r="AD71" i="2"/>
  <c r="V36" i="2"/>
  <c r="Z36" i="2"/>
  <c r="AB86" i="2" s="1"/>
  <c r="AB87" i="2" s="1"/>
  <c r="AG110" i="2"/>
  <c r="S124" i="2"/>
  <c r="K129" i="2"/>
  <c r="N126" i="2"/>
  <c r="K121" i="2"/>
  <c r="C166" i="2"/>
  <c r="D170" i="2" s="1"/>
  <c r="C81" i="2"/>
  <c r="D85" i="2" s="1"/>
  <c r="C165" i="2"/>
  <c r="B170" i="2" s="1"/>
  <c r="C164" i="2"/>
  <c r="D164" i="2" s="1"/>
  <c r="E170" i="2" s="1"/>
  <c r="D79" i="2"/>
  <c r="E85" i="2" s="1"/>
  <c r="AQ109" i="4"/>
  <c r="W93" i="4" s="1"/>
  <c r="K157" i="4"/>
  <c r="P122" i="4"/>
  <c r="P134" i="4" s="1"/>
  <c r="K129" i="4"/>
  <c r="M145" i="4" s="1"/>
  <c r="D122" i="4"/>
  <c r="D133" i="4" s="1"/>
  <c r="N129" i="4"/>
  <c r="J122" i="4"/>
  <c r="J134" i="4" s="1"/>
  <c r="B129" i="4"/>
  <c r="S59" i="4"/>
  <c r="Q58" i="4"/>
  <c r="E72" i="4"/>
  <c r="AF72" i="4" s="1"/>
  <c r="G75" i="4"/>
  <c r="AF67" i="4"/>
  <c r="Q37" i="4"/>
  <c r="K44" i="4"/>
  <c r="J37" i="4"/>
  <c r="J49" i="4" s="1"/>
  <c r="AF65" i="4"/>
  <c r="C81" i="4"/>
  <c r="D85" i="4" s="1"/>
  <c r="B86" i="4" s="1"/>
  <c r="B87" i="4" s="1"/>
  <c r="C79" i="4"/>
  <c r="D79" i="4" s="1"/>
  <c r="E85" i="4" s="1"/>
  <c r="E86" i="4" s="1"/>
  <c r="E87" i="4" s="1"/>
  <c r="G79" i="4" s="1"/>
  <c r="J79" i="4" s="1"/>
  <c r="K85" i="4" s="1"/>
  <c r="AL109" i="1"/>
  <c r="G36" i="1"/>
  <c r="AL24" i="1"/>
  <c r="Z44" i="1"/>
  <c r="N36" i="1"/>
  <c r="N37" i="1" s="1"/>
  <c r="Q36" i="1"/>
  <c r="V36" i="1"/>
  <c r="AE36" i="1"/>
  <c r="AD71" i="1"/>
  <c r="K36" i="1"/>
  <c r="J67" i="1"/>
  <c r="AB36" i="1"/>
  <c r="AG26" i="1"/>
  <c r="AC44" i="1"/>
  <c r="Q40" i="1"/>
  <c r="X71" i="1"/>
  <c r="AC36" i="1"/>
  <c r="D151" i="1"/>
  <c r="J152" i="1"/>
  <c r="D168" i="1"/>
  <c r="G168" i="1" s="1"/>
  <c r="J168" i="1" s="1"/>
  <c r="M168" i="1" s="1"/>
  <c r="P168" i="1" s="1"/>
  <c r="S168" i="1" s="1"/>
  <c r="V168" i="1" s="1"/>
  <c r="Y168" i="1" s="1"/>
  <c r="AB168" i="1" s="1"/>
  <c r="AE168" i="1" s="1"/>
  <c r="AU168" i="1" s="1"/>
  <c r="K121" i="1"/>
  <c r="AI112" i="1"/>
  <c r="Q149" i="1"/>
  <c r="R156" i="1" s="1"/>
  <c r="J121" i="1"/>
  <c r="H150" i="1"/>
  <c r="S121" i="1"/>
  <c r="K149" i="1"/>
  <c r="AI110" i="1"/>
  <c r="E149" i="1"/>
  <c r="AH112" i="1"/>
  <c r="AQ112" i="1" s="1"/>
  <c r="W99" i="1" s="1"/>
  <c r="AF147" i="1"/>
  <c r="Z101" i="1" s="1"/>
  <c r="AQ113" i="1"/>
  <c r="W101" i="1" s="1"/>
  <c r="AG111" i="1"/>
  <c r="AG110" i="1"/>
  <c r="AQ110" i="1" s="1"/>
  <c r="W95" i="1" s="1"/>
  <c r="B150" i="1"/>
  <c r="AF161" i="1"/>
  <c r="AC101" i="1" s="1"/>
  <c r="AH27" i="1"/>
  <c r="AF56" i="1"/>
  <c r="AH24" i="1"/>
  <c r="AI25" i="1"/>
  <c r="AJ24" i="1"/>
  <c r="AF76" i="1"/>
  <c r="AC16" i="1" s="1"/>
  <c r="AK27" i="1"/>
  <c r="AL25" i="1"/>
  <c r="AF50" i="1"/>
  <c r="L16" i="1" s="1"/>
  <c r="AQ28" i="1"/>
  <c r="W16" i="1" s="1"/>
  <c r="AL110" i="2"/>
  <c r="P124" i="2"/>
  <c r="AF147" i="2"/>
  <c r="Z101" i="2" s="1"/>
  <c r="AQ112" i="2"/>
  <c r="W99" i="2" s="1"/>
  <c r="AQ113" i="2"/>
  <c r="W101" i="2" s="1"/>
  <c r="AF161" i="2"/>
  <c r="AC101" i="2" s="1"/>
  <c r="AK27" i="2"/>
  <c r="AJ26" i="2"/>
  <c r="J39" i="2"/>
  <c r="J36" i="2"/>
  <c r="AQ24" i="2"/>
  <c r="W8" i="2" s="1"/>
  <c r="AF76" i="2"/>
  <c r="AC16" i="2" s="1"/>
  <c r="AQ25" i="2"/>
  <c r="W10" i="2" s="1"/>
  <c r="V231" i="1"/>
  <c r="V232" i="1" s="1"/>
  <c r="B65" i="2"/>
  <c r="AB231" i="1"/>
  <c r="AB232" i="1" s="1"/>
  <c r="C82" i="2"/>
  <c r="D82" i="2" s="1"/>
  <c r="G85" i="2" s="1"/>
  <c r="AT82" i="2"/>
  <c r="H132" i="5"/>
  <c r="AG135" i="5"/>
  <c r="R101" i="5" s="1"/>
  <c r="B144" i="5"/>
  <c r="D145" i="5"/>
  <c r="H144" i="5"/>
  <c r="J146" i="5"/>
  <c r="J75" i="4"/>
  <c r="H73" i="4"/>
  <c r="D159" i="5"/>
  <c r="B158" i="5"/>
  <c r="B122" i="5"/>
  <c r="AG153" i="5"/>
  <c r="AC101" i="5"/>
  <c r="D122" i="5"/>
  <c r="D133" i="5" s="1"/>
  <c r="N145" i="5"/>
  <c r="W122" i="5"/>
  <c r="Y122" i="5"/>
  <c r="Y171" i="5"/>
  <c r="Y172" i="5" s="1"/>
  <c r="S158" i="5"/>
  <c r="Q157" i="5"/>
  <c r="F156" i="5"/>
  <c r="AF149" i="5"/>
  <c r="AE171" i="5"/>
  <c r="AE172" i="5" s="1"/>
  <c r="J37" i="5"/>
  <c r="J49" i="5" s="1"/>
  <c r="H59" i="5"/>
  <c r="J61" i="5"/>
  <c r="K72" i="5"/>
  <c r="M74" i="5"/>
  <c r="B158" i="4"/>
  <c r="D159" i="4"/>
  <c r="J160" i="5"/>
  <c r="H158" i="5"/>
  <c r="N133" i="5"/>
  <c r="Q129" i="5"/>
  <c r="E143" i="5"/>
  <c r="G146" i="5"/>
  <c r="Q72" i="5"/>
  <c r="S73" i="5"/>
  <c r="K122" i="5"/>
  <c r="K157" i="5"/>
  <c r="M159" i="5"/>
  <c r="Z37" i="5"/>
  <c r="AA37" i="5" s="1"/>
  <c r="B37" i="5"/>
  <c r="J122" i="5"/>
  <c r="J134" i="5" s="1"/>
  <c r="G61" i="5"/>
  <c r="E58" i="5"/>
  <c r="AT164" i="4"/>
  <c r="C164" i="4"/>
  <c r="D164" i="4" s="1"/>
  <c r="E170" i="4" s="1"/>
  <c r="AE37" i="5"/>
  <c r="AD37" i="5" s="1"/>
  <c r="AC101" i="4"/>
  <c r="AG153" i="4"/>
  <c r="AE122" i="4"/>
  <c r="AD122" i="4" s="1"/>
  <c r="E129" i="4"/>
  <c r="B59" i="4"/>
  <c r="D60" i="4"/>
  <c r="P37" i="4"/>
  <c r="P49" i="4" s="1"/>
  <c r="O71" i="4"/>
  <c r="Z37" i="4"/>
  <c r="AA37" i="4" s="1"/>
  <c r="S37" i="4"/>
  <c r="S47" i="4" s="1"/>
  <c r="P160" i="5"/>
  <c r="N159" i="5"/>
  <c r="S122" i="5"/>
  <c r="S132" i="5" s="1"/>
  <c r="AC122" i="5"/>
  <c r="E122" i="5"/>
  <c r="M145" i="5"/>
  <c r="K143" i="5"/>
  <c r="P122" i="5"/>
  <c r="P134" i="5" s="1"/>
  <c r="Z86" i="5"/>
  <c r="Z87" i="5" s="1"/>
  <c r="K46" i="5"/>
  <c r="Q37" i="5"/>
  <c r="M37" i="5"/>
  <c r="M48" i="5" s="1"/>
  <c r="C165" i="4"/>
  <c r="B170" i="4" s="1"/>
  <c r="AT165" i="4"/>
  <c r="G160" i="4"/>
  <c r="S122" i="4"/>
  <c r="S132" i="4" s="1"/>
  <c r="W129" i="4"/>
  <c r="N122" i="4"/>
  <c r="C71" i="4"/>
  <c r="Q46" i="4"/>
  <c r="Q122" i="4"/>
  <c r="AE171" i="4"/>
  <c r="AE172" i="4" s="1"/>
  <c r="AB87" i="4"/>
  <c r="T37" i="4"/>
  <c r="U37" i="4" s="1"/>
  <c r="G37" i="4"/>
  <c r="G49" i="4" s="1"/>
  <c r="N60" i="5"/>
  <c r="P61" i="5"/>
  <c r="C71" i="5"/>
  <c r="D37" i="5" s="1"/>
  <c r="D48" i="5" s="1"/>
  <c r="AG50" i="5"/>
  <c r="R16" i="5" s="1"/>
  <c r="V86" i="4"/>
  <c r="V87" i="4" s="1"/>
  <c r="V37" i="5"/>
  <c r="U37" i="5" s="1"/>
  <c r="S37" i="5"/>
  <c r="S47" i="5" s="1"/>
  <c r="AX11" i="5"/>
  <c r="AY11" i="5" s="1"/>
  <c r="AF151" i="4"/>
  <c r="Q129" i="4"/>
  <c r="H122" i="4"/>
  <c r="N44" i="4"/>
  <c r="K37" i="4"/>
  <c r="D37" i="4"/>
  <c r="D48" i="4" s="1"/>
  <c r="K122" i="4"/>
  <c r="H37" i="4"/>
  <c r="AT166" i="4"/>
  <c r="C166" i="4"/>
  <c r="D170" i="4" s="1"/>
  <c r="N48" i="4"/>
  <c r="K58" i="5"/>
  <c r="M60" i="5"/>
  <c r="H158" i="4"/>
  <c r="J160" i="4"/>
  <c r="Y37" i="5"/>
  <c r="X37" i="5" s="1"/>
  <c r="S158" i="4"/>
  <c r="Q157" i="4"/>
  <c r="K143" i="4"/>
  <c r="B122" i="4"/>
  <c r="H44" i="4"/>
  <c r="F37" i="4"/>
  <c r="E46" i="4"/>
  <c r="E131" i="4"/>
  <c r="B47" i="4"/>
  <c r="G122" i="4"/>
  <c r="G134" i="4" s="1"/>
  <c r="AF62" i="1"/>
  <c r="Z16" i="1" s="1"/>
  <c r="N40" i="1"/>
  <c r="N66" i="1"/>
  <c r="P67" i="1"/>
  <c r="P40" i="1"/>
  <c r="S36" i="1"/>
  <c r="S65" i="1"/>
  <c r="S42" i="1"/>
  <c r="D66" i="1"/>
  <c r="AF66" i="1" s="1"/>
  <c r="D42" i="1"/>
  <c r="E42" i="1"/>
  <c r="E64" i="1"/>
  <c r="H65" i="1"/>
  <c r="I71" i="1" s="1"/>
  <c r="T36" i="1"/>
  <c r="AC86" i="1"/>
  <c r="AC87" i="1" s="1"/>
  <c r="B129" i="1"/>
  <c r="U156" i="1"/>
  <c r="N151" i="1"/>
  <c r="N127" i="1"/>
  <c r="T126" i="1"/>
  <c r="T129" i="1" s="1"/>
  <c r="T121" i="1"/>
  <c r="W121" i="1"/>
  <c r="Y171" i="1" s="1"/>
  <c r="Y172" i="1" s="1"/>
  <c r="W124" i="1"/>
  <c r="W129" i="1" s="1"/>
  <c r="W189" i="1"/>
  <c r="S204" i="1"/>
  <c r="Q203" i="1"/>
  <c r="K203" i="1"/>
  <c r="M205" i="1"/>
  <c r="P200" i="1"/>
  <c r="AF200" i="1" s="1"/>
  <c r="N199" i="1"/>
  <c r="AE182" i="1"/>
  <c r="AK26" i="1"/>
  <c r="AQ26" i="1" s="1"/>
  <c r="W12" i="1" s="1"/>
  <c r="AI27" i="1"/>
  <c r="AQ27" i="1" s="1"/>
  <c r="W14" i="1" s="1"/>
  <c r="N48" i="1"/>
  <c r="H39" i="1"/>
  <c r="R71" i="1"/>
  <c r="O71" i="1"/>
  <c r="P37" i="1" s="1"/>
  <c r="M36" i="1"/>
  <c r="K64" i="1"/>
  <c r="L71" i="1" s="1"/>
  <c r="K42" i="1"/>
  <c r="K44" i="1" s="1"/>
  <c r="B36" i="1"/>
  <c r="G67" i="1"/>
  <c r="G40" i="1"/>
  <c r="E44" i="1" s="1"/>
  <c r="J41" i="1"/>
  <c r="J36" i="1"/>
  <c r="W36" i="1"/>
  <c r="AJ111" i="1"/>
  <c r="AQ111" i="1" s="1"/>
  <c r="W97" i="1" s="1"/>
  <c r="AJ109" i="1"/>
  <c r="AQ109" i="1" s="1"/>
  <c r="W93" i="1" s="1"/>
  <c r="AF141" i="1"/>
  <c r="J125" i="1"/>
  <c r="E124" i="1"/>
  <c r="AA156" i="1"/>
  <c r="N121" i="1"/>
  <c r="M151" i="1"/>
  <c r="G152" i="1"/>
  <c r="P152" i="1"/>
  <c r="P121" i="1"/>
  <c r="P127" i="1"/>
  <c r="AE121" i="1"/>
  <c r="AF192" i="1"/>
  <c r="R182" i="1"/>
  <c r="B189" i="1"/>
  <c r="AF206" i="1"/>
  <c r="AD216" i="1"/>
  <c r="K217" i="1"/>
  <c r="M219" i="1"/>
  <c r="AC231" i="1"/>
  <c r="AC232" i="1" s="1"/>
  <c r="AC37" i="1"/>
  <c r="T39" i="1"/>
  <c r="T44" i="1" s="1"/>
  <c r="AA71" i="1"/>
  <c r="H36" i="1"/>
  <c r="AT82" i="1"/>
  <c r="D36" i="1"/>
  <c r="AF68" i="1"/>
  <c r="E36" i="1"/>
  <c r="AC129" i="1"/>
  <c r="Q121" i="1"/>
  <c r="Q127" i="1"/>
  <c r="B121" i="1"/>
  <c r="AF153" i="1"/>
  <c r="H121" i="1"/>
  <c r="H125" i="1"/>
  <c r="Y121" i="1"/>
  <c r="Y122" i="1" s="1"/>
  <c r="AF194" i="1"/>
  <c r="U216" i="1"/>
  <c r="AA216" i="1"/>
  <c r="AG213" i="1"/>
  <c r="C228" i="1"/>
  <c r="D228" i="1" s="1"/>
  <c r="G228" i="1" s="1"/>
  <c r="J228" i="1" s="1"/>
  <c r="M228" i="1" s="1"/>
  <c r="P228" i="1" s="1"/>
  <c r="S228" i="1" s="1"/>
  <c r="V228" i="1" s="1"/>
  <c r="Y228" i="1" s="1"/>
  <c r="AB228" i="1" s="1"/>
  <c r="AE228" i="1" s="1"/>
  <c r="AU228" i="1" s="1"/>
  <c r="AT228" i="1"/>
  <c r="AT225" i="1"/>
  <c r="AE37" i="1"/>
  <c r="Q44" i="1"/>
  <c r="B42" i="1"/>
  <c r="B65" i="1"/>
  <c r="AF65" i="1" s="1"/>
  <c r="V86" i="1"/>
  <c r="V87" i="1" s="1"/>
  <c r="Z36" i="1"/>
  <c r="AE86" i="1"/>
  <c r="AE87" i="1" s="1"/>
  <c r="AF135" i="1"/>
  <c r="L101" i="1" s="1"/>
  <c r="K129" i="1"/>
  <c r="X156" i="1"/>
  <c r="G126" i="1"/>
  <c r="G121" i="1"/>
  <c r="I156" i="1"/>
  <c r="Z121" i="1"/>
  <c r="AB122" i="1" s="1"/>
  <c r="Z126" i="1"/>
  <c r="Z129" i="1" s="1"/>
  <c r="AC121" i="1"/>
  <c r="T189" i="1"/>
  <c r="N193" i="1"/>
  <c r="E198" i="1"/>
  <c r="G199" i="1"/>
  <c r="AF201" i="1"/>
  <c r="AG195" i="1" s="1"/>
  <c r="K182" i="1"/>
  <c r="AT227" i="1"/>
  <c r="C227" i="1"/>
  <c r="D227" i="1" s="1"/>
  <c r="G227" i="1" s="1"/>
  <c r="J227" i="1" s="1"/>
  <c r="M227" i="1" s="1"/>
  <c r="P230" i="1" s="1"/>
  <c r="D219" i="1"/>
  <c r="B217" i="1"/>
  <c r="AE231" i="1"/>
  <c r="AE232" i="1" s="1"/>
  <c r="AQ27" i="2"/>
  <c r="W14" i="2" s="1"/>
  <c r="X71" i="2"/>
  <c r="L71" i="2"/>
  <c r="K37" i="2" s="1"/>
  <c r="K46" i="2" s="1"/>
  <c r="C167" i="2"/>
  <c r="D167" i="2" s="1"/>
  <c r="G170" i="2" s="1"/>
  <c r="AT167" i="2"/>
  <c r="AT83" i="1"/>
  <c r="Q125" i="1"/>
  <c r="AT167" i="1"/>
  <c r="AT168" i="1"/>
  <c r="M121" i="1"/>
  <c r="D121" i="1"/>
  <c r="AE186" i="1"/>
  <c r="AC189" i="1" s="1"/>
  <c r="J186" i="1"/>
  <c r="H189" i="1" s="1"/>
  <c r="D187" i="1"/>
  <c r="S210" i="1"/>
  <c r="R216" i="1" s="1"/>
  <c r="N211" i="1"/>
  <c r="O216" i="1" s="1"/>
  <c r="B181" i="1"/>
  <c r="B182" i="1" s="1"/>
  <c r="G211" i="1"/>
  <c r="E210" i="1"/>
  <c r="J210" i="1"/>
  <c r="H209" i="1"/>
  <c r="T231" i="1"/>
  <c r="T232" i="1" s="1"/>
  <c r="Y181" i="1"/>
  <c r="W231" i="1" s="1"/>
  <c r="W232" i="1" s="1"/>
  <c r="Z231" i="1"/>
  <c r="Z232" i="1" s="1"/>
  <c r="AF50" i="2"/>
  <c r="L16" i="2" s="1"/>
  <c r="H44" i="2"/>
  <c r="AF62" i="2"/>
  <c r="Z16" i="2" s="1"/>
  <c r="C83" i="2"/>
  <c r="D83" i="2" s="1"/>
  <c r="G83" i="2" s="1"/>
  <c r="J83" i="2" s="1"/>
  <c r="M83" i="2" s="1"/>
  <c r="P83" i="2" s="1"/>
  <c r="S83" i="2" s="1"/>
  <c r="V83" i="2" s="1"/>
  <c r="Y83" i="2" s="1"/>
  <c r="AB83" i="2" s="1"/>
  <c r="AE83" i="2" s="1"/>
  <c r="AU83" i="2" s="1"/>
  <c r="AT83" i="2"/>
  <c r="H65" i="2"/>
  <c r="H36" i="2"/>
  <c r="Q36" i="2"/>
  <c r="Q64" i="2"/>
  <c r="R71" i="2" s="1"/>
  <c r="G36" i="2"/>
  <c r="B36" i="2"/>
  <c r="C71" i="2"/>
  <c r="AE36" i="2"/>
  <c r="B129" i="2"/>
  <c r="G121" i="2"/>
  <c r="G152" i="2"/>
  <c r="G125" i="2"/>
  <c r="E129" i="2" s="1"/>
  <c r="O156" i="2"/>
  <c r="Z182" i="1"/>
  <c r="AA182" i="1" s="1"/>
  <c r="AB184" i="1"/>
  <c r="Z189" i="1" s="1"/>
  <c r="P212" i="1"/>
  <c r="AF212" i="1" s="1"/>
  <c r="AQ26" i="2"/>
  <c r="W12" i="2" s="1"/>
  <c r="AQ28" i="2"/>
  <c r="W16" i="2" s="1"/>
  <c r="S40" i="2"/>
  <c r="Q44" i="2" s="1"/>
  <c r="W44" i="2"/>
  <c r="AF56" i="2"/>
  <c r="K44" i="2"/>
  <c r="B44" i="2"/>
  <c r="AF68" i="2"/>
  <c r="AG68" i="2" s="1"/>
  <c r="N66" i="2"/>
  <c r="O71" i="2" s="1"/>
  <c r="N40" i="2"/>
  <c r="N44" i="2" s="1"/>
  <c r="D36" i="2"/>
  <c r="D37" i="2" s="1"/>
  <c r="D48" i="2" s="1"/>
  <c r="Y36" i="2"/>
  <c r="W86" i="2" s="1"/>
  <c r="W87" i="2" s="1"/>
  <c r="Y39" i="2"/>
  <c r="Z37" i="2"/>
  <c r="Z86" i="2"/>
  <c r="Z87" i="2" s="1"/>
  <c r="P126" i="2"/>
  <c r="N129" i="2" s="1"/>
  <c r="P121" i="2"/>
  <c r="E186" i="1"/>
  <c r="E189" i="1" s="1"/>
  <c r="T44" i="2"/>
  <c r="G39" i="2"/>
  <c r="AA71" i="2"/>
  <c r="AF65" i="2"/>
  <c r="E64" i="2"/>
  <c r="F71" i="2" s="1"/>
  <c r="E36" i="2"/>
  <c r="E39" i="2"/>
  <c r="AF67" i="2"/>
  <c r="I71" i="2"/>
  <c r="T36" i="2"/>
  <c r="T37" i="2" s="1"/>
  <c r="T42" i="2"/>
  <c r="AF135" i="2"/>
  <c r="L101" i="2" s="1"/>
  <c r="C168" i="2"/>
  <c r="D168" i="2" s="1"/>
  <c r="G168" i="2" s="1"/>
  <c r="J168" i="2" s="1"/>
  <c r="M168" i="2" s="1"/>
  <c r="P168" i="2" s="1"/>
  <c r="S168" i="2" s="1"/>
  <c r="V168" i="2" s="1"/>
  <c r="Y168" i="2" s="1"/>
  <c r="AB168" i="2" s="1"/>
  <c r="AE168" i="2" s="1"/>
  <c r="AU168" i="2" s="1"/>
  <c r="AT168" i="2"/>
  <c r="AC86" i="2"/>
  <c r="AC87" i="2" s="1"/>
  <c r="AH109" i="2"/>
  <c r="AQ110" i="2"/>
  <c r="W95" i="2" s="1"/>
  <c r="N121" i="2"/>
  <c r="B150" i="2"/>
  <c r="AF153" i="2"/>
  <c r="AG153" i="2" s="1"/>
  <c r="T126" i="2"/>
  <c r="T121" i="2"/>
  <c r="V122" i="2" s="1"/>
  <c r="W121" i="2"/>
  <c r="AJ111" i="2"/>
  <c r="AQ111" i="2" s="1"/>
  <c r="W97" i="2" s="1"/>
  <c r="AJ109" i="2"/>
  <c r="T129" i="2"/>
  <c r="AF141" i="2"/>
  <c r="X156" i="2"/>
  <c r="D151" i="2"/>
  <c r="E149" i="2"/>
  <c r="J152" i="2"/>
  <c r="J121" i="2"/>
  <c r="J124" i="2"/>
  <c r="AC129" i="2"/>
  <c r="U156" i="2"/>
  <c r="Q149" i="2"/>
  <c r="R156" i="2" s="1"/>
  <c r="Q125" i="2"/>
  <c r="Q129" i="2" s="1"/>
  <c r="M151" i="2"/>
  <c r="H121" i="2"/>
  <c r="H125" i="2"/>
  <c r="H150" i="2"/>
  <c r="I156" i="2" s="1"/>
  <c r="Z127" i="2"/>
  <c r="Z129" i="2" s="1"/>
  <c r="Z121" i="2"/>
  <c r="Z122" i="2" s="1"/>
  <c r="AC121" i="2"/>
  <c r="AC171" i="2" s="1"/>
  <c r="B121" i="2"/>
  <c r="Y121" i="2"/>
  <c r="Y122" i="2" s="1"/>
  <c r="S121" i="2"/>
  <c r="M121" i="2"/>
  <c r="Y171" i="2"/>
  <c r="Y172" i="2" s="1"/>
  <c r="AE121" i="2"/>
  <c r="B180" i="2"/>
  <c r="V180" i="2"/>
  <c r="B226" i="1" s="1"/>
  <c r="K149" i="2"/>
  <c r="D121" i="2"/>
  <c r="E121" i="2"/>
  <c r="AF146" i="5" l="1"/>
  <c r="Z99" i="5" s="1"/>
  <c r="P75" i="5"/>
  <c r="P37" i="5"/>
  <c r="P49" i="5" s="1"/>
  <c r="AD122" i="5"/>
  <c r="X122" i="5"/>
  <c r="H37" i="5"/>
  <c r="I37" i="5" s="1"/>
  <c r="E72" i="5"/>
  <c r="J75" i="5"/>
  <c r="AF75" i="5" s="1"/>
  <c r="E37" i="5"/>
  <c r="O37" i="5"/>
  <c r="N54" i="5" s="1"/>
  <c r="D60" i="5"/>
  <c r="AF60" i="5" s="1"/>
  <c r="Z12" i="5" s="1"/>
  <c r="AF48" i="5"/>
  <c r="L12" i="5" s="1"/>
  <c r="S59" i="5"/>
  <c r="AF59" i="5" s="1"/>
  <c r="Z10" i="5" s="1"/>
  <c r="J146" i="4"/>
  <c r="H144" i="4"/>
  <c r="O37" i="4"/>
  <c r="E157" i="4"/>
  <c r="AG194" i="1"/>
  <c r="V122" i="1"/>
  <c r="O182" i="1"/>
  <c r="AE171" i="1"/>
  <c r="AE172" i="1" s="1"/>
  <c r="B44" i="1"/>
  <c r="H129" i="1"/>
  <c r="C156" i="1"/>
  <c r="B158" i="1" s="1"/>
  <c r="AF149" i="1"/>
  <c r="F182" i="1"/>
  <c r="H129" i="2"/>
  <c r="E44" i="2"/>
  <c r="AG50" i="2"/>
  <c r="R16" i="2" s="1"/>
  <c r="AB37" i="2"/>
  <c r="K143" i="2"/>
  <c r="M145" i="2"/>
  <c r="W37" i="2"/>
  <c r="AA37" i="2"/>
  <c r="D86" i="4"/>
  <c r="D87" i="4" s="1"/>
  <c r="G86" i="4"/>
  <c r="G87" i="4" s="1"/>
  <c r="G82" i="4" s="1"/>
  <c r="J85" i="4" s="1"/>
  <c r="D145" i="4"/>
  <c r="B144" i="4"/>
  <c r="N145" i="4"/>
  <c r="P146" i="4"/>
  <c r="AF134" i="4"/>
  <c r="L99" i="4" s="1"/>
  <c r="AF48" i="4"/>
  <c r="L12" i="4" s="1"/>
  <c r="K58" i="4"/>
  <c r="AF58" i="4" s="1"/>
  <c r="Z8" i="4" s="1"/>
  <c r="M60" i="4"/>
  <c r="R37" i="4"/>
  <c r="H122" i="1"/>
  <c r="L156" i="1"/>
  <c r="AQ25" i="1"/>
  <c r="W10" i="1" s="1"/>
  <c r="AQ24" i="1"/>
  <c r="W8" i="1" s="1"/>
  <c r="Q129" i="1"/>
  <c r="E129" i="1"/>
  <c r="Z171" i="1"/>
  <c r="Z172" i="1" s="1"/>
  <c r="N122" i="1"/>
  <c r="N133" i="1" s="1"/>
  <c r="AF133" i="1" s="1"/>
  <c r="L97" i="1" s="1"/>
  <c r="N129" i="1"/>
  <c r="Q122" i="1"/>
  <c r="Q157" i="1"/>
  <c r="S158" i="1"/>
  <c r="O156" i="1"/>
  <c r="N159" i="1" s="1"/>
  <c r="J122" i="1"/>
  <c r="J134" i="1" s="1"/>
  <c r="AF150" i="1"/>
  <c r="D159" i="1"/>
  <c r="D122" i="1"/>
  <c r="D133" i="1" s="1"/>
  <c r="AG153" i="1"/>
  <c r="AG50" i="1"/>
  <c r="R16" i="1" s="1"/>
  <c r="AG68" i="1"/>
  <c r="AF67" i="1"/>
  <c r="H37" i="1"/>
  <c r="AF64" i="1"/>
  <c r="M37" i="1"/>
  <c r="M48" i="1" s="1"/>
  <c r="N44" i="1"/>
  <c r="S122" i="2"/>
  <c r="S132" i="2" s="1"/>
  <c r="AG135" i="2"/>
  <c r="R101" i="2" s="1"/>
  <c r="P122" i="2"/>
  <c r="P134" i="2" s="1"/>
  <c r="AQ109" i="2"/>
  <c r="W93" i="2" s="1"/>
  <c r="AF150" i="2"/>
  <c r="AF152" i="2"/>
  <c r="AF149" i="2"/>
  <c r="D171" i="2"/>
  <c r="D172" i="2" s="1"/>
  <c r="D122" i="2"/>
  <c r="D133" i="2" s="1"/>
  <c r="C156" i="2"/>
  <c r="B122" i="2" s="1"/>
  <c r="AF151" i="2"/>
  <c r="S37" i="2"/>
  <c r="S47" i="2" s="1"/>
  <c r="AF64" i="2"/>
  <c r="B86" i="2"/>
  <c r="B87" i="2" s="1"/>
  <c r="AC8" i="4"/>
  <c r="AG64" i="4"/>
  <c r="G55" i="4"/>
  <c r="E52" i="4"/>
  <c r="Q143" i="4"/>
  <c r="S144" i="4"/>
  <c r="AF144" i="4" s="1"/>
  <c r="Z95" i="4" s="1"/>
  <c r="C37" i="4"/>
  <c r="F122" i="4"/>
  <c r="K131" i="4"/>
  <c r="L122" i="4"/>
  <c r="H132" i="4"/>
  <c r="I122" i="4"/>
  <c r="B73" i="4"/>
  <c r="D74" i="4"/>
  <c r="AF157" i="4"/>
  <c r="B171" i="4"/>
  <c r="B172" i="4" s="1"/>
  <c r="D165" i="4" s="1"/>
  <c r="G165" i="4" s="1"/>
  <c r="H170" i="4" s="1"/>
  <c r="L37" i="5"/>
  <c r="R122" i="5"/>
  <c r="AF159" i="4"/>
  <c r="AF49" i="5"/>
  <c r="L14" i="5" s="1"/>
  <c r="G160" i="5"/>
  <c r="E157" i="5"/>
  <c r="E171" i="4"/>
  <c r="E172" i="4" s="1"/>
  <c r="G164" i="4" s="1"/>
  <c r="J164" i="4" s="1"/>
  <c r="K170" i="4" s="1"/>
  <c r="AF58" i="5"/>
  <c r="Z8" i="5" s="1"/>
  <c r="B47" i="5"/>
  <c r="C37" i="5"/>
  <c r="AF158" i="4"/>
  <c r="H47" i="5"/>
  <c r="B132" i="5"/>
  <c r="AF132" i="5" s="1"/>
  <c r="L95" i="5" s="1"/>
  <c r="C122" i="5"/>
  <c r="B132" i="4"/>
  <c r="AF132" i="4" s="1"/>
  <c r="L95" i="4" s="1"/>
  <c r="C122" i="4"/>
  <c r="N54" i="4"/>
  <c r="P55" i="4"/>
  <c r="G171" i="4"/>
  <c r="G172" i="4" s="1"/>
  <c r="G167" i="4" s="1"/>
  <c r="J170" i="4" s="1"/>
  <c r="O122" i="4"/>
  <c r="N133" i="4"/>
  <c r="AF133" i="4" s="1"/>
  <c r="L97" i="4" s="1"/>
  <c r="Q46" i="5"/>
  <c r="R37" i="5"/>
  <c r="H59" i="4"/>
  <c r="AF59" i="4" s="1"/>
  <c r="Z10" i="4" s="1"/>
  <c r="J61" i="4"/>
  <c r="I37" i="4"/>
  <c r="H47" i="4"/>
  <c r="AF47" i="4" s="1"/>
  <c r="L10" i="4" s="1"/>
  <c r="K46" i="4"/>
  <c r="AF46" i="4" s="1"/>
  <c r="L8" i="4" s="1"/>
  <c r="L37" i="4"/>
  <c r="AF72" i="5"/>
  <c r="E131" i="5"/>
  <c r="P75" i="4"/>
  <c r="N74" i="4"/>
  <c r="AF61" i="5"/>
  <c r="Z14" i="5" s="1"/>
  <c r="K131" i="5"/>
  <c r="L122" i="5"/>
  <c r="S144" i="5"/>
  <c r="AF144" i="5" s="1"/>
  <c r="Z95" i="5" s="1"/>
  <c r="Q143" i="5"/>
  <c r="AF143" i="5" s="1"/>
  <c r="Z93" i="5" s="1"/>
  <c r="O122" i="5"/>
  <c r="G122" i="5"/>
  <c r="G134" i="5" s="1"/>
  <c r="AF134" i="5" s="1"/>
  <c r="L99" i="5" s="1"/>
  <c r="AF158" i="5"/>
  <c r="AF145" i="5"/>
  <c r="Z97" i="5" s="1"/>
  <c r="Q131" i="4"/>
  <c r="AF131" i="4" s="1"/>
  <c r="L93" i="4" s="1"/>
  <c r="R122" i="4"/>
  <c r="AF160" i="4"/>
  <c r="E143" i="4"/>
  <c r="G146" i="4"/>
  <c r="AF146" i="4" s="1"/>
  <c r="Z99" i="4" s="1"/>
  <c r="D171" i="4"/>
  <c r="D172" i="4" s="1"/>
  <c r="D166" i="4" s="1"/>
  <c r="G166" i="4" s="1"/>
  <c r="J166" i="4" s="1"/>
  <c r="M170" i="4" s="1"/>
  <c r="P61" i="4"/>
  <c r="N60" i="4"/>
  <c r="AF60" i="4" s="1"/>
  <c r="Z12" i="4" s="1"/>
  <c r="E46" i="5"/>
  <c r="F37" i="5"/>
  <c r="B73" i="5"/>
  <c r="D74" i="5"/>
  <c r="AF49" i="4"/>
  <c r="L14" i="4" s="1"/>
  <c r="Q52" i="4"/>
  <c r="S53" i="4"/>
  <c r="AF133" i="5"/>
  <c r="L97" i="5" s="1"/>
  <c r="AF159" i="5"/>
  <c r="I122" i="5"/>
  <c r="P61" i="2"/>
  <c r="N60" i="2"/>
  <c r="N219" i="1"/>
  <c r="P220" i="1"/>
  <c r="G171" i="2"/>
  <c r="G172" i="2" s="1"/>
  <c r="G61" i="1"/>
  <c r="E58" i="1"/>
  <c r="N145" i="1"/>
  <c r="P146" i="1"/>
  <c r="H158" i="2"/>
  <c r="J160" i="2"/>
  <c r="Q143" i="2"/>
  <c r="S144" i="2"/>
  <c r="E204" i="1"/>
  <c r="AF204" i="1" s="1"/>
  <c r="G205" i="1"/>
  <c r="N145" i="2"/>
  <c r="P146" i="2"/>
  <c r="N74" i="2"/>
  <c r="P75" i="2"/>
  <c r="P37" i="2"/>
  <c r="G146" i="2"/>
  <c r="E143" i="2"/>
  <c r="S218" i="1"/>
  <c r="Q217" i="1"/>
  <c r="S144" i="1"/>
  <c r="Q143" i="1"/>
  <c r="H144" i="2"/>
  <c r="J146" i="2"/>
  <c r="S59" i="2"/>
  <c r="Q58" i="2"/>
  <c r="P49" i="1"/>
  <c r="O37" i="1"/>
  <c r="P61" i="1"/>
  <c r="N60" i="1"/>
  <c r="T171" i="2"/>
  <c r="T172" i="2" s="1"/>
  <c r="AT226" i="1"/>
  <c r="S158" i="2"/>
  <c r="Q157" i="2"/>
  <c r="W122" i="2"/>
  <c r="X122" i="2" s="1"/>
  <c r="W171" i="2"/>
  <c r="W172" i="2" s="1"/>
  <c r="E171" i="2"/>
  <c r="E172" i="2" s="1"/>
  <c r="N122" i="2"/>
  <c r="AB122" i="2"/>
  <c r="AA122" i="2" s="1"/>
  <c r="T86" i="2"/>
  <c r="T87" i="2" s="1"/>
  <c r="J75" i="2"/>
  <c r="H73" i="2"/>
  <c r="E37" i="2"/>
  <c r="E86" i="2"/>
  <c r="E87" i="2" s="1"/>
  <c r="G86" i="2"/>
  <c r="G87" i="2" s="1"/>
  <c r="B59" i="2"/>
  <c r="D60" i="2"/>
  <c r="B144" i="2"/>
  <c r="D145" i="2"/>
  <c r="V86" i="2"/>
  <c r="V87" i="2" s="1"/>
  <c r="G37" i="2"/>
  <c r="G49" i="2" s="1"/>
  <c r="H37" i="2"/>
  <c r="J37" i="2"/>
  <c r="J49" i="2" s="1"/>
  <c r="AF211" i="1"/>
  <c r="M122" i="1"/>
  <c r="M133" i="1" s="1"/>
  <c r="K122" i="1"/>
  <c r="Q122" i="2"/>
  <c r="H144" i="1"/>
  <c r="J146" i="1"/>
  <c r="Y231" i="1"/>
  <c r="Y232" i="1" s="1"/>
  <c r="K37" i="1"/>
  <c r="AD37" i="1"/>
  <c r="W86" i="1"/>
  <c r="W87" i="1" s="1"/>
  <c r="Y86" i="1"/>
  <c r="Y87" i="1" s="1"/>
  <c r="W37" i="1"/>
  <c r="T122" i="1"/>
  <c r="U122" i="1" s="1"/>
  <c r="T172" i="1"/>
  <c r="V171" i="1"/>
  <c r="V172" i="1" s="1"/>
  <c r="B144" i="1"/>
  <c r="D145" i="1"/>
  <c r="F71" i="1"/>
  <c r="G37" i="1" s="1"/>
  <c r="Q37" i="1"/>
  <c r="S37" i="1"/>
  <c r="S47" i="1" s="1"/>
  <c r="D182" i="1"/>
  <c r="D193" i="1" s="1"/>
  <c r="AF193" i="1" s="1"/>
  <c r="Y37" i="1"/>
  <c r="AE122" i="2"/>
  <c r="Z171" i="2"/>
  <c r="Z172" i="2" s="1"/>
  <c r="F156" i="2"/>
  <c r="G122" i="2" s="1"/>
  <c r="G75" i="2"/>
  <c r="E72" i="2"/>
  <c r="M60" i="2"/>
  <c r="K58" i="2"/>
  <c r="N159" i="2"/>
  <c r="P160" i="2"/>
  <c r="D74" i="2"/>
  <c r="B73" i="2"/>
  <c r="H59" i="2"/>
  <c r="J61" i="2"/>
  <c r="V37" i="2"/>
  <c r="U37" i="2" s="1"/>
  <c r="I216" i="1"/>
  <c r="AF209" i="1"/>
  <c r="B191" i="1"/>
  <c r="J204" i="1"/>
  <c r="H203" i="1"/>
  <c r="W182" i="1"/>
  <c r="L182" i="1"/>
  <c r="K191" i="1"/>
  <c r="AC122" i="1"/>
  <c r="AC171" i="1"/>
  <c r="AC172" i="1" s="1"/>
  <c r="Z122" i="1"/>
  <c r="AA122" i="1" s="1"/>
  <c r="AB171" i="1"/>
  <c r="AB172" i="1" s="1"/>
  <c r="H158" i="1"/>
  <c r="J160" i="1"/>
  <c r="AF151" i="1"/>
  <c r="S122" i="1"/>
  <c r="S132" i="1" s="1"/>
  <c r="C71" i="1"/>
  <c r="D37" i="1" s="1"/>
  <c r="D48" i="1" s="1"/>
  <c r="B122" i="1"/>
  <c r="AX11" i="1"/>
  <c r="AY11" i="1" s="1"/>
  <c r="AE122" i="1"/>
  <c r="AF152" i="1"/>
  <c r="F156" i="1"/>
  <c r="G122" i="1" s="1"/>
  <c r="AG135" i="1"/>
  <c r="R101" i="1" s="1"/>
  <c r="J37" i="1"/>
  <c r="J49" i="1" s="1"/>
  <c r="B37" i="1"/>
  <c r="K72" i="1"/>
  <c r="M74" i="1"/>
  <c r="H44" i="1"/>
  <c r="W122" i="1"/>
  <c r="X122" i="1" s="1"/>
  <c r="W171" i="1"/>
  <c r="W172" i="1" s="1"/>
  <c r="T86" i="1"/>
  <c r="T87" i="1" s="1"/>
  <c r="V37" i="1"/>
  <c r="T37" i="1"/>
  <c r="AC122" i="2"/>
  <c r="AD122" i="2" s="1"/>
  <c r="AC172" i="2"/>
  <c r="H122" i="2"/>
  <c r="X37" i="2"/>
  <c r="Y37" i="2"/>
  <c r="AE37" i="2"/>
  <c r="AC37" i="2"/>
  <c r="S73" i="2"/>
  <c r="Q72" i="2"/>
  <c r="AE86" i="2"/>
  <c r="AE87" i="2" s="1"/>
  <c r="M145" i="1"/>
  <c r="K143" i="1"/>
  <c r="Z37" i="1"/>
  <c r="Z86" i="1"/>
  <c r="Z87" i="1" s="1"/>
  <c r="AB37" i="1"/>
  <c r="I122" i="1"/>
  <c r="H132" i="1"/>
  <c r="AB86" i="1"/>
  <c r="AB87" i="1" s="1"/>
  <c r="D205" i="1"/>
  <c r="AF205" i="1" s="1"/>
  <c r="B203" i="1"/>
  <c r="AF203" i="1" s="1"/>
  <c r="N74" i="1"/>
  <c r="P75" i="1"/>
  <c r="S73" i="1"/>
  <c r="Q72" i="1"/>
  <c r="B59" i="1"/>
  <c r="D60" i="1"/>
  <c r="AE171" i="2"/>
  <c r="AE172" i="2" s="1"/>
  <c r="L156" i="2"/>
  <c r="M122" i="2" s="1"/>
  <c r="M133" i="2" s="1"/>
  <c r="K122" i="2"/>
  <c r="AB171" i="2"/>
  <c r="AB172" i="2" s="1"/>
  <c r="J122" i="2"/>
  <c r="J134" i="2" s="1"/>
  <c r="D159" i="2"/>
  <c r="T122" i="2"/>
  <c r="U122" i="2" s="1"/>
  <c r="V171" i="2"/>
  <c r="V172" i="2" s="1"/>
  <c r="G61" i="2"/>
  <c r="E58" i="2"/>
  <c r="AF58" i="2" s="1"/>
  <c r="Z8" i="2" s="1"/>
  <c r="AF66" i="2"/>
  <c r="B171" i="2"/>
  <c r="B172" i="2" s="1"/>
  <c r="Y86" i="2"/>
  <c r="Y87" i="2" s="1"/>
  <c r="B37" i="2"/>
  <c r="D86" i="2"/>
  <c r="D87" i="2" s="1"/>
  <c r="Q37" i="2"/>
  <c r="AX11" i="2"/>
  <c r="AY11" i="2" s="1"/>
  <c r="Y182" i="1"/>
  <c r="AF210" i="1"/>
  <c r="F216" i="1"/>
  <c r="M74" i="2"/>
  <c r="K72" i="2"/>
  <c r="M37" i="2"/>
  <c r="S59" i="1"/>
  <c r="Q58" i="1"/>
  <c r="Q131" i="1"/>
  <c r="H47" i="1"/>
  <c r="S198" i="1"/>
  <c r="Q197" i="1"/>
  <c r="P122" i="1"/>
  <c r="P134" i="1" s="1"/>
  <c r="G146" i="1"/>
  <c r="E143" i="1"/>
  <c r="M60" i="1"/>
  <c r="K58" i="1"/>
  <c r="K157" i="1"/>
  <c r="M159" i="1"/>
  <c r="H73" i="1"/>
  <c r="J75" i="1"/>
  <c r="P55" i="5" l="1"/>
  <c r="AF46" i="5"/>
  <c r="L8" i="5" s="1"/>
  <c r="AF47" i="5"/>
  <c r="L10" i="5" s="1"/>
  <c r="F122" i="5"/>
  <c r="G140" i="5" s="1"/>
  <c r="AF145" i="4"/>
  <c r="Z97" i="4" s="1"/>
  <c r="AF48" i="1"/>
  <c r="L12" i="1" s="1"/>
  <c r="AF146" i="1"/>
  <c r="Z99" i="1" s="1"/>
  <c r="AD37" i="2"/>
  <c r="AF143" i="4"/>
  <c r="Z93" i="4" s="1"/>
  <c r="E122" i="1"/>
  <c r="E131" i="1" s="1"/>
  <c r="E37" i="1"/>
  <c r="E46" i="1" s="1"/>
  <c r="AA37" i="1"/>
  <c r="AD122" i="1"/>
  <c r="R122" i="1"/>
  <c r="Q137" i="1" s="1"/>
  <c r="AF143" i="1"/>
  <c r="Z93" i="1" s="1"/>
  <c r="P160" i="1"/>
  <c r="AF159" i="1"/>
  <c r="AG151" i="1" s="1"/>
  <c r="AF145" i="1"/>
  <c r="Z97" i="1" s="1"/>
  <c r="G49" i="1"/>
  <c r="AF49" i="1" s="1"/>
  <c r="L14" i="1" s="1"/>
  <c r="I37" i="1"/>
  <c r="H53" i="1" s="1"/>
  <c r="AF143" i="2"/>
  <c r="Z93" i="2" s="1"/>
  <c r="AF145" i="2"/>
  <c r="Z97" i="2" s="1"/>
  <c r="AF144" i="2"/>
  <c r="Z95" i="2" s="1"/>
  <c r="E122" i="2"/>
  <c r="E131" i="2" s="1"/>
  <c r="B158" i="2"/>
  <c r="D165" i="2" s="1"/>
  <c r="G165" i="2" s="1"/>
  <c r="H170" i="2" s="1"/>
  <c r="AF61" i="2"/>
  <c r="Z14" i="2" s="1"/>
  <c r="AF59" i="2"/>
  <c r="Z10" i="2" s="1"/>
  <c r="H171" i="4"/>
  <c r="H172" i="4" s="1"/>
  <c r="J165" i="4" s="1"/>
  <c r="M165" i="4" s="1"/>
  <c r="P165" i="4" s="1"/>
  <c r="S170" i="4" s="1"/>
  <c r="M171" i="4"/>
  <c r="M172" i="4" s="1"/>
  <c r="M166" i="4" s="1"/>
  <c r="N170" i="4" s="1"/>
  <c r="J171" i="4"/>
  <c r="J172" i="4" s="1"/>
  <c r="J167" i="4" s="1"/>
  <c r="M167" i="4" s="1"/>
  <c r="P170" i="4" s="1"/>
  <c r="K171" i="4"/>
  <c r="K172" i="4" s="1"/>
  <c r="M164" i="4" s="1"/>
  <c r="P164" i="4" s="1"/>
  <c r="Q170" i="4" s="1"/>
  <c r="AF73" i="5"/>
  <c r="N139" i="5"/>
  <c r="P140" i="5"/>
  <c r="K137" i="5"/>
  <c r="M139" i="5"/>
  <c r="H53" i="4"/>
  <c r="J55" i="4"/>
  <c r="AF55" i="4" s="1"/>
  <c r="AG49" i="4" s="1"/>
  <c r="R14" i="4" s="1"/>
  <c r="B138" i="4"/>
  <c r="D139" i="4"/>
  <c r="D54" i="5"/>
  <c r="B53" i="5"/>
  <c r="K52" i="5"/>
  <c r="M54" i="5"/>
  <c r="E52" i="5"/>
  <c r="G55" i="5"/>
  <c r="S138" i="4"/>
  <c r="Q137" i="4"/>
  <c r="AF131" i="5"/>
  <c r="L93" i="5" s="1"/>
  <c r="K52" i="4"/>
  <c r="M54" i="4"/>
  <c r="P140" i="4"/>
  <c r="N139" i="4"/>
  <c r="AG150" i="4"/>
  <c r="AC95" i="4"/>
  <c r="D81" i="4"/>
  <c r="G81" i="4" s="1"/>
  <c r="J81" i="4" s="1"/>
  <c r="M85" i="4" s="1"/>
  <c r="AF74" i="4"/>
  <c r="M139" i="4"/>
  <c r="K137" i="4"/>
  <c r="AF52" i="4"/>
  <c r="AG46" i="4" s="1"/>
  <c r="R8" i="4" s="1"/>
  <c r="J140" i="5"/>
  <c r="H138" i="5"/>
  <c r="AC97" i="5"/>
  <c r="AG151" i="5"/>
  <c r="AC95" i="5"/>
  <c r="AG150" i="5"/>
  <c r="E137" i="5"/>
  <c r="S53" i="5"/>
  <c r="Q52" i="5"/>
  <c r="J55" i="5"/>
  <c r="H53" i="5"/>
  <c r="AF157" i="5"/>
  <c r="Q137" i="5"/>
  <c r="S138" i="5"/>
  <c r="D80" i="4"/>
  <c r="G80" i="4" s="1"/>
  <c r="H85" i="4" s="1"/>
  <c r="AF73" i="4"/>
  <c r="G140" i="4"/>
  <c r="E137" i="4"/>
  <c r="AC14" i="5"/>
  <c r="AG67" i="5"/>
  <c r="AF74" i="5"/>
  <c r="AG152" i="4"/>
  <c r="AC99" i="4"/>
  <c r="AF75" i="4"/>
  <c r="AG64" i="5"/>
  <c r="AC8" i="5"/>
  <c r="AF61" i="4"/>
  <c r="Z14" i="4" s="1"/>
  <c r="D139" i="5"/>
  <c r="B138" i="5"/>
  <c r="AF160" i="5"/>
  <c r="AG151" i="4"/>
  <c r="AC97" i="4"/>
  <c r="AC93" i="4"/>
  <c r="AG149" i="4"/>
  <c r="J140" i="4"/>
  <c r="H138" i="4"/>
  <c r="B53" i="4"/>
  <c r="D54" i="4"/>
  <c r="G134" i="1"/>
  <c r="AF134" i="1" s="1"/>
  <c r="L99" i="1" s="1"/>
  <c r="F122" i="1"/>
  <c r="G134" i="2"/>
  <c r="AF134" i="2" s="1"/>
  <c r="L99" i="2" s="1"/>
  <c r="F122" i="2"/>
  <c r="B47" i="2"/>
  <c r="C37" i="2"/>
  <c r="D166" i="2"/>
  <c r="G166" i="2" s="1"/>
  <c r="J166" i="2" s="1"/>
  <c r="M170" i="2" s="1"/>
  <c r="O122" i="1"/>
  <c r="I122" i="2"/>
  <c r="H132" i="2"/>
  <c r="C122" i="2"/>
  <c r="B132" i="2"/>
  <c r="U37" i="1"/>
  <c r="H59" i="1"/>
  <c r="J61" i="1"/>
  <c r="D74" i="1"/>
  <c r="B73" i="1"/>
  <c r="K197" i="1"/>
  <c r="M199" i="1"/>
  <c r="AF75" i="2"/>
  <c r="G82" i="2"/>
  <c r="J85" i="2" s="1"/>
  <c r="Q46" i="1"/>
  <c r="R37" i="1"/>
  <c r="AF158" i="1"/>
  <c r="O122" i="2"/>
  <c r="N133" i="2"/>
  <c r="AF133" i="2" s="1"/>
  <c r="L97" i="2" s="1"/>
  <c r="O37" i="2"/>
  <c r="P49" i="2"/>
  <c r="AF49" i="2" s="1"/>
  <c r="L14" i="2" s="1"/>
  <c r="P227" i="1"/>
  <c r="S227" i="1" s="1"/>
  <c r="V227" i="1" s="1"/>
  <c r="Y227" i="1" s="1"/>
  <c r="AB227" i="1" s="1"/>
  <c r="AE227" i="1" s="1"/>
  <c r="AU227" i="1" s="1"/>
  <c r="AF220" i="1"/>
  <c r="S138" i="1"/>
  <c r="M48" i="2"/>
  <c r="AF48" i="2" s="1"/>
  <c r="L12" i="2" s="1"/>
  <c r="L37" i="2"/>
  <c r="AF60" i="1"/>
  <c r="Z12" i="1" s="1"/>
  <c r="J218" i="1"/>
  <c r="H217" i="1"/>
  <c r="H182" i="1"/>
  <c r="D80" i="2"/>
  <c r="G80" i="2" s="1"/>
  <c r="H85" i="2" s="1"/>
  <c r="AF73" i="2"/>
  <c r="G75" i="1"/>
  <c r="E72" i="1"/>
  <c r="X37" i="1"/>
  <c r="L37" i="1"/>
  <c r="K46" i="1"/>
  <c r="R122" i="2"/>
  <c r="Q131" i="2"/>
  <c r="AF60" i="2"/>
  <c r="Z12" i="2" s="1"/>
  <c r="E218" i="1"/>
  <c r="G219" i="1"/>
  <c r="R37" i="2"/>
  <c r="Q46" i="2"/>
  <c r="AF59" i="1"/>
  <c r="Z10" i="1" s="1"/>
  <c r="E157" i="1"/>
  <c r="G160" i="1"/>
  <c r="D81" i="2"/>
  <c r="G81" i="2" s="1"/>
  <c r="J81" i="2" s="1"/>
  <c r="M85" i="2" s="1"/>
  <c r="AF74" i="2"/>
  <c r="E46" i="2"/>
  <c r="F37" i="2"/>
  <c r="AF58" i="1"/>
  <c r="Z8" i="1" s="1"/>
  <c r="AF158" i="2"/>
  <c r="L122" i="2"/>
  <c r="K131" i="2"/>
  <c r="M159" i="2"/>
  <c r="K157" i="2"/>
  <c r="H138" i="1"/>
  <c r="J140" i="1"/>
  <c r="B47" i="1"/>
  <c r="AF47" i="1" s="1"/>
  <c r="L10" i="1" s="1"/>
  <c r="C37" i="1"/>
  <c r="C122" i="1"/>
  <c r="B132" i="1"/>
  <c r="AF132" i="1" s="1"/>
  <c r="L95" i="1" s="1"/>
  <c r="X182" i="1"/>
  <c r="C182" i="1"/>
  <c r="G79" i="2"/>
  <c r="J79" i="2" s="1"/>
  <c r="K85" i="2" s="1"/>
  <c r="AF72" i="2"/>
  <c r="G160" i="2"/>
  <c r="E157" i="2"/>
  <c r="AF144" i="1"/>
  <c r="Z95" i="1" s="1"/>
  <c r="L122" i="1"/>
  <c r="K131" i="1"/>
  <c r="AF131" i="1" s="1"/>
  <c r="L93" i="1" s="1"/>
  <c r="I37" i="2"/>
  <c r="H47" i="2"/>
  <c r="P55" i="1"/>
  <c r="N54" i="1"/>
  <c r="AF146" i="2"/>
  <c r="Z99" i="2" s="1"/>
  <c r="AF61" i="1"/>
  <c r="Z14" i="1" s="1"/>
  <c r="AF139" i="5" l="1"/>
  <c r="AG133" i="5" s="1"/>
  <c r="R97" i="5" s="1"/>
  <c r="AF138" i="5"/>
  <c r="AG132" i="5" s="1"/>
  <c r="R95" i="5" s="1"/>
  <c r="AF46" i="2"/>
  <c r="L8" i="2" s="1"/>
  <c r="AF132" i="2"/>
  <c r="L95" i="2" s="1"/>
  <c r="AF139" i="4"/>
  <c r="AG133" i="4" s="1"/>
  <c r="R97" i="4" s="1"/>
  <c r="AF53" i="4"/>
  <c r="AG47" i="4" s="1"/>
  <c r="R10" i="4" s="1"/>
  <c r="F37" i="1"/>
  <c r="J55" i="1"/>
  <c r="AC97" i="1"/>
  <c r="AF46" i="1"/>
  <c r="L8" i="1" s="1"/>
  <c r="AF131" i="2"/>
  <c r="L93" i="2" s="1"/>
  <c r="Q171" i="4"/>
  <c r="Q172" i="4" s="1"/>
  <c r="S164" i="4" s="1"/>
  <c r="V164" i="4" s="1"/>
  <c r="Y164" i="4" s="1"/>
  <c r="AB164" i="4" s="1"/>
  <c r="AE164" i="4" s="1"/>
  <c r="AU164" i="4" s="1"/>
  <c r="AX4" i="4" s="1"/>
  <c r="AW5" i="5" s="1"/>
  <c r="P171" i="4"/>
  <c r="P172" i="4" s="1"/>
  <c r="P167" i="4" s="1"/>
  <c r="S167" i="4" s="1"/>
  <c r="V167" i="4" s="1"/>
  <c r="Y167" i="4" s="1"/>
  <c r="AB167" i="4" s="1"/>
  <c r="AE167" i="4" s="1"/>
  <c r="AU167" i="4" s="1"/>
  <c r="AX9" i="4" s="1"/>
  <c r="AW8" i="5" s="1"/>
  <c r="N171" i="4"/>
  <c r="N172" i="4" s="1"/>
  <c r="P166" i="4" s="1"/>
  <c r="S166" i="4" s="1"/>
  <c r="V166" i="4" s="1"/>
  <c r="Y166" i="4" s="1"/>
  <c r="AB166" i="4" s="1"/>
  <c r="AE166" i="4" s="1"/>
  <c r="AU166" i="4" s="1"/>
  <c r="AX8" i="4" s="1"/>
  <c r="AW6" i="5" s="1"/>
  <c r="S171" i="4"/>
  <c r="S172" i="4" s="1"/>
  <c r="S165" i="4" s="1"/>
  <c r="V165" i="4" s="1"/>
  <c r="Y165" i="4" s="1"/>
  <c r="AB165" i="4" s="1"/>
  <c r="AE165" i="4" s="1"/>
  <c r="AU165" i="4" s="1"/>
  <c r="AX5" i="4" s="1"/>
  <c r="AW7" i="5" s="1"/>
  <c r="H86" i="4"/>
  <c r="H87" i="4" s="1"/>
  <c r="J80" i="4" s="1"/>
  <c r="M80" i="4" s="1"/>
  <c r="P80" i="4" s="1"/>
  <c r="S85" i="4" s="1"/>
  <c r="J86" i="4"/>
  <c r="J87" i="4" s="1"/>
  <c r="J82" i="4" s="1"/>
  <c r="M82" i="4" s="1"/>
  <c r="P85" i="4" s="1"/>
  <c r="AF54" i="4"/>
  <c r="AG48" i="4" s="1"/>
  <c r="R12" i="4" s="1"/>
  <c r="AG66" i="5"/>
  <c r="AC12" i="5"/>
  <c r="AF140" i="4"/>
  <c r="AG134" i="4" s="1"/>
  <c r="R99" i="4" s="1"/>
  <c r="AF137" i="5"/>
  <c r="AG131" i="5" s="1"/>
  <c r="R93" i="5" s="1"/>
  <c r="AF55" i="5"/>
  <c r="AG49" i="5" s="1"/>
  <c r="R14" i="5" s="1"/>
  <c r="AF53" i="5"/>
  <c r="AG47" i="5" s="1"/>
  <c r="R10" i="5" s="1"/>
  <c r="AC10" i="5"/>
  <c r="AG65" i="5"/>
  <c r="AC99" i="5"/>
  <c r="AG152" i="5"/>
  <c r="AC10" i="4"/>
  <c r="AG65" i="4"/>
  <c r="AC93" i="5"/>
  <c r="AG149" i="5"/>
  <c r="AF140" i="5"/>
  <c r="AG134" i="5" s="1"/>
  <c r="R99" i="5" s="1"/>
  <c r="AC12" i="4"/>
  <c r="AG66" i="4"/>
  <c r="AF52" i="5"/>
  <c r="AG46" i="5" s="1"/>
  <c r="R8" i="5" s="1"/>
  <c r="AF54" i="5"/>
  <c r="AG48" i="5" s="1"/>
  <c r="R12" i="5" s="1"/>
  <c r="M86" i="4"/>
  <c r="M87" i="4" s="1"/>
  <c r="M81" i="4" s="1"/>
  <c r="N85" i="4" s="1"/>
  <c r="K86" i="4"/>
  <c r="K87" i="4" s="1"/>
  <c r="M79" i="4" s="1"/>
  <c r="P79" i="4" s="1"/>
  <c r="Q85" i="4" s="1"/>
  <c r="AG67" i="4"/>
  <c r="AC14" i="4"/>
  <c r="AF137" i="4"/>
  <c r="AG131" i="4" s="1"/>
  <c r="R93" i="4" s="1"/>
  <c r="AF138" i="4"/>
  <c r="AG132" i="4" s="1"/>
  <c r="R95" i="4" s="1"/>
  <c r="D54" i="1"/>
  <c r="B53" i="1"/>
  <c r="J55" i="2"/>
  <c r="H53" i="2"/>
  <c r="G164" i="2"/>
  <c r="J164" i="2" s="1"/>
  <c r="K170" i="2" s="1"/>
  <c r="M171" i="2" s="1"/>
  <c r="M172" i="2" s="1"/>
  <c r="M166" i="2" s="1"/>
  <c r="N170" i="2" s="1"/>
  <c r="AF157" i="2"/>
  <c r="M139" i="2"/>
  <c r="K137" i="2"/>
  <c r="M86" i="2"/>
  <c r="M87" i="2" s="1"/>
  <c r="M81" i="2" s="1"/>
  <c r="N85" i="2" s="1"/>
  <c r="AG65" i="2"/>
  <c r="AC10" i="2"/>
  <c r="P55" i="2"/>
  <c r="N54" i="2"/>
  <c r="AG150" i="1"/>
  <c r="AC95" i="1"/>
  <c r="AF74" i="1"/>
  <c r="D54" i="2"/>
  <c r="B53" i="2"/>
  <c r="G140" i="2"/>
  <c r="E137" i="2"/>
  <c r="AG64" i="2"/>
  <c r="AC8" i="2"/>
  <c r="AG150" i="2"/>
  <c r="AC95" i="2"/>
  <c r="G167" i="2"/>
  <c r="J170" i="2" s="1"/>
  <c r="AF160" i="2"/>
  <c r="D199" i="1"/>
  <c r="AF199" i="1" s="1"/>
  <c r="AG193" i="1" s="1"/>
  <c r="B197" i="1"/>
  <c r="B138" i="1"/>
  <c r="AF138" i="1" s="1"/>
  <c r="AG132" i="1" s="1"/>
  <c r="R95" i="1" s="1"/>
  <c r="D139" i="1"/>
  <c r="S53" i="2"/>
  <c r="Q52" i="2"/>
  <c r="S138" i="2"/>
  <c r="Q137" i="2"/>
  <c r="AF72" i="1"/>
  <c r="H86" i="2"/>
  <c r="H87" i="2" s="1"/>
  <c r="J80" i="2" s="1"/>
  <c r="M80" i="2" s="1"/>
  <c r="P80" i="2" s="1"/>
  <c r="S85" i="2" s="1"/>
  <c r="P140" i="2"/>
  <c r="N139" i="2"/>
  <c r="S53" i="1"/>
  <c r="Q52" i="1"/>
  <c r="J86" i="2"/>
  <c r="J87" i="2" s="1"/>
  <c r="J82" i="2" s="1"/>
  <c r="M82" i="2" s="1"/>
  <c r="P85" i="2" s="1"/>
  <c r="AF47" i="2"/>
  <c r="L10" i="2" s="1"/>
  <c r="M139" i="1"/>
  <c r="K137" i="1"/>
  <c r="G55" i="2"/>
  <c r="E52" i="2"/>
  <c r="AF160" i="1"/>
  <c r="AF219" i="1"/>
  <c r="AF75" i="1"/>
  <c r="I182" i="1"/>
  <c r="H191" i="1"/>
  <c r="AF191" i="1" s="1"/>
  <c r="M54" i="2"/>
  <c r="K52" i="2"/>
  <c r="AG67" i="2"/>
  <c r="AC14" i="2"/>
  <c r="H138" i="2"/>
  <c r="J140" i="2"/>
  <c r="P140" i="1"/>
  <c r="N139" i="1"/>
  <c r="AF159" i="2"/>
  <c r="G140" i="1"/>
  <c r="E137" i="1"/>
  <c r="K86" i="2"/>
  <c r="K87" i="2" s="1"/>
  <c r="M79" i="2" s="1"/>
  <c r="P79" i="2" s="1"/>
  <c r="Q85" i="2" s="1"/>
  <c r="AG66" i="2"/>
  <c r="AC12" i="2"/>
  <c r="AF157" i="1"/>
  <c r="AF218" i="1"/>
  <c r="M54" i="1"/>
  <c r="K52" i="1"/>
  <c r="AF217" i="1"/>
  <c r="AG212" i="1"/>
  <c r="AF73" i="1"/>
  <c r="B138" i="2"/>
  <c r="D139" i="2"/>
  <c r="AF139" i="2" l="1"/>
  <c r="AG133" i="2" s="1"/>
  <c r="R97" i="2" s="1"/>
  <c r="AF55" i="2"/>
  <c r="AG49" i="2" s="1"/>
  <c r="R14" i="2" s="1"/>
  <c r="AF52" i="1"/>
  <c r="G55" i="1"/>
  <c r="AF55" i="1" s="1"/>
  <c r="AG49" i="1" s="1"/>
  <c r="R14" i="1" s="1"/>
  <c r="E52" i="1"/>
  <c r="AF137" i="1"/>
  <c r="AG131" i="1" s="1"/>
  <c r="R93" i="1" s="1"/>
  <c r="AF54" i="1"/>
  <c r="AG48" i="1" s="1"/>
  <c r="R12" i="1" s="1"/>
  <c r="AG46" i="1"/>
  <c r="R8" i="1" s="1"/>
  <c r="AF137" i="2"/>
  <c r="AG131" i="2" s="1"/>
  <c r="R93" i="2" s="1"/>
  <c r="AF138" i="2"/>
  <c r="AG132" i="2" s="1"/>
  <c r="R95" i="2" s="1"/>
  <c r="AF140" i="2"/>
  <c r="AG134" i="2" s="1"/>
  <c r="R99" i="2" s="1"/>
  <c r="AY5" i="4"/>
  <c r="N86" i="4"/>
  <c r="N87" i="4" s="1"/>
  <c r="P81" i="4" s="1"/>
  <c r="S81" i="4" s="1"/>
  <c r="V81" i="4" s="1"/>
  <c r="Y81" i="4" s="1"/>
  <c r="AB81" i="4" s="1"/>
  <c r="AE81" i="4" s="1"/>
  <c r="AU81" i="4" s="1"/>
  <c r="AX7" i="4" s="1"/>
  <c r="AW4" i="5" s="1"/>
  <c r="C165" i="5"/>
  <c r="B170" i="5" s="1"/>
  <c r="AY8" i="4"/>
  <c r="C81" i="5"/>
  <c r="D85" i="5" s="1"/>
  <c r="AY9" i="4"/>
  <c r="S86" i="4"/>
  <c r="S87" i="4" s="1"/>
  <c r="S80" i="4" s="1"/>
  <c r="V80" i="4" s="1"/>
  <c r="Y80" i="4" s="1"/>
  <c r="AB80" i="4" s="1"/>
  <c r="AE80" i="4" s="1"/>
  <c r="AU80" i="4" s="1"/>
  <c r="AX6" i="4" s="1"/>
  <c r="AY4" i="4"/>
  <c r="Q86" i="4"/>
  <c r="Q87" i="4" s="1"/>
  <c r="S79" i="4" s="1"/>
  <c r="V79" i="4" s="1"/>
  <c r="Y79" i="4" s="1"/>
  <c r="AB79" i="4" s="1"/>
  <c r="AE79" i="4" s="1"/>
  <c r="AU79" i="4" s="1"/>
  <c r="AX3" i="4" s="1"/>
  <c r="AW10" i="5" s="1"/>
  <c r="P86" i="4"/>
  <c r="P87" i="4" s="1"/>
  <c r="P82" i="4" s="1"/>
  <c r="S82" i="4" s="1"/>
  <c r="V82" i="4" s="1"/>
  <c r="Y82" i="4" s="1"/>
  <c r="AB82" i="4" s="1"/>
  <c r="AE82" i="4" s="1"/>
  <c r="AU82" i="4" s="1"/>
  <c r="AX10" i="4" s="1"/>
  <c r="Q86" i="2"/>
  <c r="Q87" i="2" s="1"/>
  <c r="S79" i="2" s="1"/>
  <c r="V79" i="2" s="1"/>
  <c r="Y79" i="2" s="1"/>
  <c r="AB79" i="2" s="1"/>
  <c r="AE79" i="2" s="1"/>
  <c r="AU79" i="2" s="1"/>
  <c r="AX3" i="2" s="1"/>
  <c r="S86" i="2"/>
  <c r="S87" i="2" s="1"/>
  <c r="S80" i="2" s="1"/>
  <c r="V80" i="2" s="1"/>
  <c r="Y80" i="2" s="1"/>
  <c r="AB80" i="2" s="1"/>
  <c r="AE80" i="2" s="1"/>
  <c r="AU80" i="2" s="1"/>
  <c r="AX6" i="2" s="1"/>
  <c r="P86" i="2"/>
  <c r="P87" i="2" s="1"/>
  <c r="P82" i="2" s="1"/>
  <c r="S82" i="2" s="1"/>
  <c r="V82" i="2" s="1"/>
  <c r="Y82" i="2" s="1"/>
  <c r="AB82" i="2" s="1"/>
  <c r="AE82" i="2" s="1"/>
  <c r="AU82" i="2" s="1"/>
  <c r="AX10" i="2" s="1"/>
  <c r="AG67" i="1"/>
  <c r="AC14" i="1"/>
  <c r="AG152" i="1"/>
  <c r="AC99" i="1"/>
  <c r="AG64" i="1"/>
  <c r="AC8" i="1"/>
  <c r="AC10" i="1"/>
  <c r="AG65" i="1"/>
  <c r="AF53" i="2"/>
  <c r="AG47" i="2" s="1"/>
  <c r="R10" i="2" s="1"/>
  <c r="AG66" i="1"/>
  <c r="AC12" i="1"/>
  <c r="AG210" i="1"/>
  <c r="J171" i="2"/>
  <c r="J172" i="2" s="1"/>
  <c r="J167" i="2" s="1"/>
  <c r="M167" i="2" s="1"/>
  <c r="P170" i="2" s="1"/>
  <c r="N171" i="2" s="1"/>
  <c r="N172" i="2" s="1"/>
  <c r="P166" i="2" s="1"/>
  <c r="S166" i="2" s="1"/>
  <c r="V166" i="2" s="1"/>
  <c r="Y166" i="2" s="1"/>
  <c r="AB166" i="2" s="1"/>
  <c r="AE166" i="2" s="1"/>
  <c r="AU166" i="2" s="1"/>
  <c r="AX8" i="2" s="1"/>
  <c r="N86" i="2"/>
  <c r="N87" i="2" s="1"/>
  <c r="P81" i="2" s="1"/>
  <c r="S81" i="2" s="1"/>
  <c r="V81" i="2" s="1"/>
  <c r="Y81" i="2" s="1"/>
  <c r="AB81" i="2" s="1"/>
  <c r="AE81" i="2" s="1"/>
  <c r="AU81" i="2" s="1"/>
  <c r="AX7" i="2" s="1"/>
  <c r="AG209" i="1"/>
  <c r="AG149" i="1"/>
  <c r="AC93" i="1"/>
  <c r="AF140" i="1"/>
  <c r="AG134" i="1" s="1"/>
  <c r="R99" i="1" s="1"/>
  <c r="AG211" i="1"/>
  <c r="AF52" i="2"/>
  <c r="AG46" i="2" s="1"/>
  <c r="R8" i="2" s="1"/>
  <c r="AF54" i="2"/>
  <c r="AG48" i="2" s="1"/>
  <c r="R12" i="2" s="1"/>
  <c r="AG149" i="2"/>
  <c r="AC93" i="2"/>
  <c r="H171" i="2"/>
  <c r="H172" i="2" s="1"/>
  <c r="J165" i="2" s="1"/>
  <c r="M165" i="2" s="1"/>
  <c r="P165" i="2" s="1"/>
  <c r="S170" i="2" s="1"/>
  <c r="AG151" i="2"/>
  <c r="AC97" i="2"/>
  <c r="H197" i="1"/>
  <c r="AF197" i="1" s="1"/>
  <c r="AG191" i="1" s="1"/>
  <c r="J198" i="1"/>
  <c r="AF198" i="1" s="1"/>
  <c r="AG192" i="1" s="1"/>
  <c r="AF139" i="1"/>
  <c r="AG133" i="1" s="1"/>
  <c r="R97" i="1" s="1"/>
  <c r="AG152" i="2"/>
  <c r="AC99" i="2"/>
  <c r="K171" i="2"/>
  <c r="K172" i="2" s="1"/>
  <c r="M164" i="2" s="1"/>
  <c r="P164" i="2" s="1"/>
  <c r="Q170" i="2" s="1"/>
  <c r="AF53" i="1"/>
  <c r="AG47" i="1" s="1"/>
  <c r="R10" i="1" s="1"/>
  <c r="C166" i="5" l="1"/>
  <c r="D170" i="5" s="1"/>
  <c r="D171" i="5" s="1"/>
  <c r="D172" i="5" s="1"/>
  <c r="D166" i="5" s="1"/>
  <c r="G166" i="5" s="1"/>
  <c r="J166" i="5" s="1"/>
  <c r="M170" i="5" s="1"/>
  <c r="AW9" i="5"/>
  <c r="C167" i="5"/>
  <c r="D167" i="5" s="1"/>
  <c r="G170" i="5" s="1"/>
  <c r="AY10" i="4"/>
  <c r="AY6" i="4"/>
  <c r="AY3" i="4"/>
  <c r="B171" i="5"/>
  <c r="B172" i="5" s="1"/>
  <c r="D165" i="5" s="1"/>
  <c r="G165" i="5" s="1"/>
  <c r="H170" i="5" s="1"/>
  <c r="C80" i="5"/>
  <c r="B85" i="5" s="1"/>
  <c r="D86" i="5" s="1"/>
  <c r="D87" i="5" s="1"/>
  <c r="D81" i="5" s="1"/>
  <c r="G81" i="5" s="1"/>
  <c r="J81" i="5" s="1"/>
  <c r="M85" i="5" s="1"/>
  <c r="AW3" i="5"/>
  <c r="C79" i="5" s="1"/>
  <c r="D79" i="5" s="1"/>
  <c r="E85" i="5" s="1"/>
  <c r="AY7" i="4"/>
  <c r="AY8" i="2"/>
  <c r="Q171" i="2"/>
  <c r="Q172" i="2" s="1"/>
  <c r="S164" i="2" s="1"/>
  <c r="V164" i="2" s="1"/>
  <c r="Y164" i="2" s="1"/>
  <c r="AB164" i="2" s="1"/>
  <c r="AE164" i="2" s="1"/>
  <c r="AU164" i="2" s="1"/>
  <c r="AX4" i="2" s="1"/>
  <c r="AY3" i="2"/>
  <c r="AW10" i="1"/>
  <c r="S171" i="2"/>
  <c r="S172" i="2" s="1"/>
  <c r="S165" i="2" s="1"/>
  <c r="V165" i="2" s="1"/>
  <c r="Y165" i="2" s="1"/>
  <c r="AB165" i="2" s="1"/>
  <c r="AE165" i="2" s="1"/>
  <c r="AU165" i="2" s="1"/>
  <c r="AX5" i="2" s="1"/>
  <c r="AW5" i="1" s="1"/>
  <c r="C165" i="1" s="1"/>
  <c r="B170" i="1" s="1"/>
  <c r="AW9" i="1"/>
  <c r="C167" i="1" s="1"/>
  <c r="D167" i="1" s="1"/>
  <c r="G170" i="1" s="1"/>
  <c r="AY10" i="2"/>
  <c r="AW3" i="1"/>
  <c r="C79" i="1" s="1"/>
  <c r="D79" i="1" s="1"/>
  <c r="E85" i="1" s="1"/>
  <c r="AY7" i="2"/>
  <c r="AW4" i="1"/>
  <c r="AY6" i="2"/>
  <c r="P171" i="2"/>
  <c r="P172" i="2" s="1"/>
  <c r="P167" i="2" s="1"/>
  <c r="S167" i="2" s="1"/>
  <c r="V167" i="2" s="1"/>
  <c r="Y167" i="2" s="1"/>
  <c r="AB167" i="2" s="1"/>
  <c r="AE167" i="2" s="1"/>
  <c r="AU167" i="2" s="1"/>
  <c r="AX9" i="2" s="1"/>
  <c r="C164" i="5" l="1"/>
  <c r="D164" i="5" s="1"/>
  <c r="E170" i="5" s="1"/>
  <c r="B86" i="5"/>
  <c r="B87" i="5" s="1"/>
  <c r="D80" i="5" s="1"/>
  <c r="G80" i="5" s="1"/>
  <c r="H85" i="5" s="1"/>
  <c r="C82" i="5"/>
  <c r="D82" i="5" s="1"/>
  <c r="G85" i="5" s="1"/>
  <c r="AW7" i="1"/>
  <c r="C81" i="1" s="1"/>
  <c r="D85" i="1" s="1"/>
  <c r="AY9" i="2"/>
  <c r="C224" i="1"/>
  <c r="B230" i="1" s="1"/>
  <c r="C82" i="1"/>
  <c r="D82" i="1" s="1"/>
  <c r="G85" i="1" s="1"/>
  <c r="E86" i="1" s="1"/>
  <c r="E87" i="1" s="1"/>
  <c r="G79" i="1" s="1"/>
  <c r="J79" i="1" s="1"/>
  <c r="K85" i="1" s="1"/>
  <c r="C164" i="1"/>
  <c r="D164" i="1" s="1"/>
  <c r="E170" i="1" s="1"/>
  <c r="G171" i="1" s="1"/>
  <c r="G172" i="1" s="1"/>
  <c r="G167" i="1" s="1"/>
  <c r="J170" i="1" s="1"/>
  <c r="C226" i="1"/>
  <c r="D230" i="1" s="1"/>
  <c r="AW8" i="1"/>
  <c r="C166" i="1" s="1"/>
  <c r="D170" i="1" s="1"/>
  <c r="B171" i="1" s="1"/>
  <c r="B172" i="1" s="1"/>
  <c r="D165" i="1" s="1"/>
  <c r="G165" i="1" s="1"/>
  <c r="H170" i="1" s="1"/>
  <c r="AY4" i="2"/>
  <c r="AW6" i="1"/>
  <c r="AY5" i="2"/>
  <c r="G86" i="5" l="1"/>
  <c r="G87" i="5" s="1"/>
  <c r="G82" i="5" s="1"/>
  <c r="J85" i="5" s="1"/>
  <c r="E171" i="5"/>
  <c r="E172" i="5" s="1"/>
  <c r="G164" i="5" s="1"/>
  <c r="J164" i="5" s="1"/>
  <c r="K170" i="5" s="1"/>
  <c r="E86" i="5"/>
  <c r="E87" i="5" s="1"/>
  <c r="G79" i="5" s="1"/>
  <c r="J79" i="5" s="1"/>
  <c r="K85" i="5" s="1"/>
  <c r="G171" i="5"/>
  <c r="G172" i="5" s="1"/>
  <c r="G167" i="5" s="1"/>
  <c r="J170" i="5" s="1"/>
  <c r="H171" i="1"/>
  <c r="H172" i="1" s="1"/>
  <c r="J165" i="1" s="1"/>
  <c r="M165" i="1" s="1"/>
  <c r="P165" i="1" s="1"/>
  <c r="S170" i="1" s="1"/>
  <c r="E171" i="1"/>
  <c r="E172" i="1" s="1"/>
  <c r="G164" i="1" s="1"/>
  <c r="J164" i="1" s="1"/>
  <c r="K170" i="1" s="1"/>
  <c r="G86" i="1"/>
  <c r="G87" i="1" s="1"/>
  <c r="G82" i="1" s="1"/>
  <c r="J85" i="1" s="1"/>
  <c r="J171" i="1"/>
  <c r="J172" i="1" s="1"/>
  <c r="J167" i="1" s="1"/>
  <c r="M167" i="1" s="1"/>
  <c r="P170" i="1" s="1"/>
  <c r="D231" i="1"/>
  <c r="D232" i="1" s="1"/>
  <c r="D226" i="1" s="1"/>
  <c r="G230" i="1" s="1"/>
  <c r="C225" i="1"/>
  <c r="D225" i="1" s="1"/>
  <c r="E230" i="1" s="1"/>
  <c r="C80" i="1"/>
  <c r="B85" i="1" s="1"/>
  <c r="D86" i="1" s="1"/>
  <c r="D87" i="1" s="1"/>
  <c r="D81" i="1" s="1"/>
  <c r="G81" i="1" s="1"/>
  <c r="J81" i="1" s="1"/>
  <c r="M85" i="1" s="1"/>
  <c r="D171" i="1"/>
  <c r="D172" i="1" s="1"/>
  <c r="D166" i="1" s="1"/>
  <c r="G166" i="1" s="1"/>
  <c r="J166" i="1" s="1"/>
  <c r="M170" i="1" s="1"/>
  <c r="B231" i="1"/>
  <c r="B232" i="1" s="1"/>
  <c r="D224" i="1" s="1"/>
  <c r="G224" i="1" s="1"/>
  <c r="H230" i="1" s="1"/>
  <c r="K171" i="5" l="1"/>
  <c r="K172" i="5" s="1"/>
  <c r="M164" i="5" s="1"/>
  <c r="P164" i="5" s="1"/>
  <c r="Q170" i="5" s="1"/>
  <c r="M171" i="5"/>
  <c r="M172" i="5" s="1"/>
  <c r="M166" i="5" s="1"/>
  <c r="N170" i="5" s="1"/>
  <c r="J86" i="5"/>
  <c r="J87" i="5" s="1"/>
  <c r="J82" i="5" s="1"/>
  <c r="M82" i="5" s="1"/>
  <c r="P85" i="5" s="1"/>
  <c r="H86" i="5"/>
  <c r="H87" i="5" s="1"/>
  <c r="J80" i="5" s="1"/>
  <c r="M80" i="5" s="1"/>
  <c r="P80" i="5" s="1"/>
  <c r="S85" i="5" s="1"/>
  <c r="J171" i="5"/>
  <c r="J172" i="5" s="1"/>
  <c r="J167" i="5" s="1"/>
  <c r="M167" i="5" s="1"/>
  <c r="P170" i="5" s="1"/>
  <c r="H171" i="5"/>
  <c r="H172" i="5" s="1"/>
  <c r="J165" i="5" s="1"/>
  <c r="M165" i="5" s="1"/>
  <c r="P165" i="5" s="1"/>
  <c r="S170" i="5" s="1"/>
  <c r="K86" i="5"/>
  <c r="K87" i="5" s="1"/>
  <c r="M79" i="5" s="1"/>
  <c r="P79" i="5" s="1"/>
  <c r="Q85" i="5" s="1"/>
  <c r="M86" i="5"/>
  <c r="M87" i="5" s="1"/>
  <c r="M81" i="5" s="1"/>
  <c r="N85" i="5" s="1"/>
  <c r="M171" i="1"/>
  <c r="M172" i="1" s="1"/>
  <c r="M166" i="1" s="1"/>
  <c r="N170" i="1" s="1"/>
  <c r="P171" i="1" s="1"/>
  <c r="P172" i="1" s="1"/>
  <c r="P167" i="1" s="1"/>
  <c r="S167" i="1" s="1"/>
  <c r="V167" i="1" s="1"/>
  <c r="Y167" i="1" s="1"/>
  <c r="AB167" i="1" s="1"/>
  <c r="AE167" i="1" s="1"/>
  <c r="AU167" i="1" s="1"/>
  <c r="AX9" i="1" s="1"/>
  <c r="AY9" i="1" s="1"/>
  <c r="K171" i="1"/>
  <c r="K172" i="1" s="1"/>
  <c r="M164" i="1" s="1"/>
  <c r="P164" i="1" s="1"/>
  <c r="Q170" i="1" s="1"/>
  <c r="M86" i="1"/>
  <c r="M87" i="1" s="1"/>
  <c r="M81" i="1" s="1"/>
  <c r="N85" i="1" s="1"/>
  <c r="K86" i="1"/>
  <c r="K87" i="1" s="1"/>
  <c r="M79" i="1" s="1"/>
  <c r="P79" i="1" s="1"/>
  <c r="Q85" i="1" s="1"/>
  <c r="B86" i="1"/>
  <c r="B87" i="1" s="1"/>
  <c r="D80" i="1" s="1"/>
  <c r="G80" i="1" s="1"/>
  <c r="H85" i="1" s="1"/>
  <c r="E231" i="1"/>
  <c r="E232" i="1" s="1"/>
  <c r="G225" i="1" s="1"/>
  <c r="J230" i="1" s="1"/>
  <c r="G231" i="1"/>
  <c r="G232" i="1" s="1"/>
  <c r="G226" i="1" s="1"/>
  <c r="J226" i="1" s="1"/>
  <c r="P86" i="5" l="1"/>
  <c r="P87" i="5" s="1"/>
  <c r="P82" i="5" s="1"/>
  <c r="S82" i="5" s="1"/>
  <c r="V82" i="5" s="1"/>
  <c r="Y82" i="5" s="1"/>
  <c r="AB82" i="5" s="1"/>
  <c r="AE82" i="5" s="1"/>
  <c r="AU82" i="5" s="1"/>
  <c r="AX10" i="5" s="1"/>
  <c r="AY10" i="5" s="1"/>
  <c r="P171" i="5"/>
  <c r="P172" i="5" s="1"/>
  <c r="P167" i="5" s="1"/>
  <c r="S167" i="5" s="1"/>
  <c r="V167" i="5" s="1"/>
  <c r="Y167" i="5" s="1"/>
  <c r="AB167" i="5" s="1"/>
  <c r="AE167" i="5" s="1"/>
  <c r="AU167" i="5" s="1"/>
  <c r="AX9" i="5" s="1"/>
  <c r="AY9" i="5" s="1"/>
  <c r="Q171" i="5"/>
  <c r="Q172" i="5" s="1"/>
  <c r="S164" i="5" s="1"/>
  <c r="V164" i="5" s="1"/>
  <c r="Y164" i="5" s="1"/>
  <c r="AB164" i="5" s="1"/>
  <c r="AE164" i="5" s="1"/>
  <c r="AU164" i="5" s="1"/>
  <c r="AX4" i="5" s="1"/>
  <c r="AY4" i="5" s="1"/>
  <c r="Q86" i="5"/>
  <c r="Q87" i="5" s="1"/>
  <c r="S79" i="5" s="1"/>
  <c r="V79" i="5" s="1"/>
  <c r="Y79" i="5" s="1"/>
  <c r="AB79" i="5" s="1"/>
  <c r="AE79" i="5" s="1"/>
  <c r="AU79" i="5" s="1"/>
  <c r="AX3" i="5" s="1"/>
  <c r="AY3" i="5" s="1"/>
  <c r="S86" i="5"/>
  <c r="S87" i="5" s="1"/>
  <c r="S80" i="5" s="1"/>
  <c r="V80" i="5" s="1"/>
  <c r="Y80" i="5" s="1"/>
  <c r="AB80" i="5" s="1"/>
  <c r="AE80" i="5" s="1"/>
  <c r="AU80" i="5" s="1"/>
  <c r="AX6" i="5" s="1"/>
  <c r="AY6" i="5" s="1"/>
  <c r="N171" i="5"/>
  <c r="N172" i="5" s="1"/>
  <c r="P166" i="5" s="1"/>
  <c r="S166" i="5" s="1"/>
  <c r="V166" i="5" s="1"/>
  <c r="Y166" i="5" s="1"/>
  <c r="AB166" i="5" s="1"/>
  <c r="AE166" i="5" s="1"/>
  <c r="AU166" i="5" s="1"/>
  <c r="AX8" i="5" s="1"/>
  <c r="AY8" i="5" s="1"/>
  <c r="S171" i="5"/>
  <c r="S172" i="5" s="1"/>
  <c r="S165" i="5" s="1"/>
  <c r="V165" i="5" s="1"/>
  <c r="Y165" i="5" s="1"/>
  <c r="AB165" i="5" s="1"/>
  <c r="AE165" i="5" s="1"/>
  <c r="AU165" i="5" s="1"/>
  <c r="AX5" i="5" s="1"/>
  <c r="AY5" i="5" s="1"/>
  <c r="N86" i="5"/>
  <c r="N87" i="5" s="1"/>
  <c r="P81" i="5" s="1"/>
  <c r="S81" i="5" s="1"/>
  <c r="V81" i="5" s="1"/>
  <c r="Y81" i="5" s="1"/>
  <c r="AB81" i="5" s="1"/>
  <c r="AE81" i="5" s="1"/>
  <c r="AU81" i="5" s="1"/>
  <c r="AX7" i="5" s="1"/>
  <c r="AY7" i="5" s="1"/>
  <c r="M230" i="1"/>
  <c r="M226" i="1"/>
  <c r="H86" i="1"/>
  <c r="H87" i="1" s="1"/>
  <c r="J80" i="1" s="1"/>
  <c r="M80" i="1" s="1"/>
  <c r="P80" i="1" s="1"/>
  <c r="S85" i="1" s="1"/>
  <c r="Q86" i="1" s="1"/>
  <c r="Q87" i="1" s="1"/>
  <c r="S79" i="1" s="1"/>
  <c r="V79" i="1" s="1"/>
  <c r="Y79" i="1" s="1"/>
  <c r="AB79" i="1" s="1"/>
  <c r="AE79" i="1" s="1"/>
  <c r="AU79" i="1" s="1"/>
  <c r="AX3" i="1" s="1"/>
  <c r="AY3" i="1" s="1"/>
  <c r="J86" i="1"/>
  <c r="J87" i="1" s="1"/>
  <c r="J82" i="1" s="1"/>
  <c r="M82" i="1" s="1"/>
  <c r="P85" i="1" s="1"/>
  <c r="N86" i="1" s="1"/>
  <c r="N87" i="1" s="1"/>
  <c r="P81" i="1" s="1"/>
  <c r="S81" i="1" s="1"/>
  <c r="V81" i="1" s="1"/>
  <c r="Y81" i="1" s="1"/>
  <c r="AB81" i="1" s="1"/>
  <c r="AE81" i="1" s="1"/>
  <c r="AU81" i="1" s="1"/>
  <c r="AX7" i="1" s="1"/>
  <c r="AY7" i="1" s="1"/>
  <c r="J231" i="1"/>
  <c r="J232" i="1" s="1"/>
  <c r="J225" i="1" s="1"/>
  <c r="M225" i="1" s="1"/>
  <c r="P225" i="1" s="1"/>
  <c r="H231" i="1"/>
  <c r="H232" i="1" s="1"/>
  <c r="J224" i="1" s="1"/>
  <c r="Q171" i="1"/>
  <c r="Q172" i="1" s="1"/>
  <c r="S164" i="1" s="1"/>
  <c r="V164" i="1" s="1"/>
  <c r="Y164" i="1" s="1"/>
  <c r="AB164" i="1" s="1"/>
  <c r="AE164" i="1" s="1"/>
  <c r="AU164" i="1" s="1"/>
  <c r="AX4" i="1" s="1"/>
  <c r="AY4" i="1" s="1"/>
  <c r="S171" i="1"/>
  <c r="S172" i="1" s="1"/>
  <c r="S165" i="1" s="1"/>
  <c r="V165" i="1" s="1"/>
  <c r="Y165" i="1" s="1"/>
  <c r="AB165" i="1" s="1"/>
  <c r="AE165" i="1" s="1"/>
  <c r="AU165" i="1" s="1"/>
  <c r="AX5" i="1" s="1"/>
  <c r="AY5" i="1" s="1"/>
  <c r="N171" i="1"/>
  <c r="N172" i="1" s="1"/>
  <c r="P166" i="1" s="1"/>
  <c r="S166" i="1" s="1"/>
  <c r="V166" i="1" s="1"/>
  <c r="Y166" i="1" s="1"/>
  <c r="AB166" i="1" s="1"/>
  <c r="AE166" i="1" s="1"/>
  <c r="AU166" i="1" s="1"/>
  <c r="AX8" i="1" s="1"/>
  <c r="AY8" i="1" s="1"/>
  <c r="K230" i="1" l="1"/>
  <c r="M231" i="1" s="1"/>
  <c r="M232" i="1" s="1"/>
  <c r="M224" i="1"/>
  <c r="P224" i="1" s="1"/>
  <c r="S86" i="1"/>
  <c r="S87" i="1" s="1"/>
  <c r="S80" i="1" s="1"/>
  <c r="V80" i="1" s="1"/>
  <c r="Y80" i="1" s="1"/>
  <c r="AB80" i="1" s="1"/>
  <c r="AE80" i="1" s="1"/>
  <c r="AU80" i="1" s="1"/>
  <c r="AX6" i="1" s="1"/>
  <c r="AY6" i="1" s="1"/>
  <c r="S230" i="1"/>
  <c r="S225" i="1"/>
  <c r="V225" i="1" s="1"/>
  <c r="Y225" i="1" s="1"/>
  <c r="AB225" i="1" s="1"/>
  <c r="AE225" i="1" s="1"/>
  <c r="AU225" i="1" s="1"/>
  <c r="N230" i="1"/>
  <c r="P226" i="1"/>
  <c r="S226" i="1" s="1"/>
  <c r="V226" i="1" s="1"/>
  <c r="Y226" i="1" s="1"/>
  <c r="AB226" i="1" s="1"/>
  <c r="AE226" i="1" s="1"/>
  <c r="AU226" i="1" s="1"/>
  <c r="P86" i="1"/>
  <c r="P87" i="1" s="1"/>
  <c r="P82" i="1" s="1"/>
  <c r="S82" i="1" s="1"/>
  <c r="V82" i="1" s="1"/>
  <c r="Y82" i="1" s="1"/>
  <c r="AB82" i="1" s="1"/>
  <c r="AE82" i="1" s="1"/>
  <c r="AU82" i="1" s="1"/>
  <c r="AX10" i="1" l="1"/>
  <c r="AY10" i="1" s="1"/>
  <c r="Q230" i="1"/>
  <c r="S231" i="1" s="1"/>
  <c r="S232" i="1" s="1"/>
  <c r="S224" i="1"/>
  <c r="V224" i="1" s="1"/>
  <c r="Y224" i="1" s="1"/>
  <c r="AB224" i="1" s="1"/>
  <c r="AE224" i="1" s="1"/>
  <c r="AU224" i="1" s="1"/>
  <c r="N231" i="1"/>
  <c r="N232" i="1" s="1"/>
  <c r="P231" i="1"/>
  <c r="P232" i="1" s="1"/>
  <c r="K231" i="1"/>
  <c r="K232" i="1" s="1"/>
  <c r="Q231" i="1" l="1"/>
  <c r="Q232" i="1" s="1"/>
  <c r="C99" i="9" l="1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D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D139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D247" i="9"/>
  <c r="D248" i="9"/>
  <c r="C248" i="9"/>
  <c r="C249" i="9"/>
  <c r="C250" i="9"/>
  <c r="C251" i="9"/>
  <c r="C252" i="9"/>
  <c r="C253" i="9"/>
  <c r="C254" i="9"/>
  <c r="C255" i="9"/>
  <c r="C256" i="9"/>
  <c r="D256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D154" i="9"/>
  <c r="D138" i="9"/>
  <c r="D251" i="9"/>
  <c r="D250" i="9"/>
  <c r="D252" i="9"/>
  <c r="C156" i="9"/>
  <c r="C157" i="9"/>
  <c r="D157" i="9"/>
  <c r="D255" i="9"/>
  <c r="D147" i="9"/>
  <c r="D25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D46" i="9"/>
  <c r="D47" i="9"/>
  <c r="D48" i="9"/>
  <c r="D49" i="9"/>
  <c r="D253" i="9"/>
  <c r="D153" i="9"/>
  <c r="D140" i="9"/>
  <c r="D249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D200" i="9"/>
  <c r="D156" i="9"/>
  <c r="D201" i="9"/>
  <c r="C202" i="9"/>
  <c r="C47" i="9"/>
  <c r="C48" i="9"/>
  <c r="C49" i="9"/>
  <c r="C50" i="9"/>
  <c r="C51" i="9"/>
  <c r="C52" i="9"/>
  <c r="D51" i="9"/>
  <c r="D146" i="9"/>
  <c r="D155" i="9"/>
  <c r="C203" i="9"/>
  <c r="C204" i="9"/>
  <c r="C205" i="9"/>
  <c r="C206" i="9"/>
  <c r="D206" i="9"/>
  <c r="D246" i="9"/>
  <c r="D205" i="9"/>
  <c r="D145" i="9"/>
  <c r="D193" i="9"/>
  <c r="D245" i="9"/>
  <c r="D144" i="9"/>
  <c r="C53" i="9"/>
  <c r="C54" i="9"/>
  <c r="C55" i="9"/>
  <c r="C56" i="9"/>
  <c r="D56" i="9"/>
  <c r="C57" i="9"/>
  <c r="D137" i="9"/>
  <c r="D55" i="9"/>
  <c r="D41" i="9"/>
  <c r="D192" i="9"/>
  <c r="D244" i="9"/>
  <c r="D204" i="9"/>
  <c r="D202" i="9"/>
  <c r="D142" i="9"/>
  <c r="D143" i="9"/>
  <c r="D150" i="9"/>
  <c r="D240" i="9"/>
  <c r="D203" i="9"/>
  <c r="D52" i="9"/>
  <c r="D149" i="9"/>
  <c r="D129" i="9"/>
  <c r="D239" i="9"/>
  <c r="D44" i="9"/>
  <c r="D243" i="9"/>
  <c r="D136" i="9"/>
  <c r="D194" i="9"/>
  <c r="D197" i="9"/>
  <c r="D229" i="9"/>
  <c r="D199" i="9"/>
  <c r="D148" i="9"/>
  <c r="D196" i="9"/>
  <c r="D43" i="9"/>
  <c r="D238" i="9"/>
  <c r="D45" i="9"/>
  <c r="D141" i="9"/>
  <c r="D191" i="9"/>
  <c r="D135" i="9"/>
  <c r="D42" i="9"/>
  <c r="D190" i="9"/>
  <c r="D152" i="9"/>
  <c r="D128" i="9"/>
  <c r="D198" i="9"/>
  <c r="D151" i="9"/>
  <c r="D134" i="9"/>
  <c r="D187" i="9"/>
  <c r="D188" i="9"/>
  <c r="D127" i="9"/>
  <c r="D228" i="9"/>
  <c r="D25" i="9"/>
  <c r="D26" i="9"/>
  <c r="D235" i="9"/>
  <c r="D189" i="9"/>
  <c r="D231" i="9"/>
  <c r="D177" i="9"/>
  <c r="D230" i="9"/>
  <c r="D237" i="9"/>
  <c r="D131" i="9"/>
  <c r="D37" i="9"/>
  <c r="D236" i="9"/>
  <c r="D22" i="9"/>
  <c r="D130" i="9"/>
  <c r="D124" i="9"/>
  <c r="D21" i="9"/>
  <c r="D133" i="9"/>
  <c r="D181" i="9"/>
  <c r="D20" i="9"/>
  <c r="D132" i="9"/>
  <c r="D162" i="9"/>
  <c r="D36" i="9"/>
  <c r="D33" i="9"/>
  <c r="D214" i="9"/>
  <c r="D215" i="9"/>
  <c r="D216" i="9"/>
  <c r="D217" i="9"/>
  <c r="D34" i="9"/>
  <c r="D35" i="9"/>
  <c r="D123" i="9"/>
  <c r="D32" i="9"/>
  <c r="D122" i="9"/>
  <c r="D23" i="9"/>
  <c r="D119" i="9"/>
  <c r="D234" i="9"/>
  <c r="D227" i="9"/>
  <c r="D171" i="9"/>
  <c r="D172" i="9"/>
  <c r="D173" i="9"/>
  <c r="D174" i="9"/>
  <c r="D213" i="9"/>
  <c r="D212" i="9"/>
  <c r="D29" i="9"/>
  <c r="D219" i="9"/>
  <c r="D19" i="9"/>
  <c r="D108" i="9"/>
  <c r="D109" i="9"/>
  <c r="D110" i="9"/>
  <c r="D111" i="9"/>
  <c r="D163" i="9"/>
  <c r="D226" i="9"/>
  <c r="D218" i="9"/>
  <c r="D180" i="9"/>
  <c r="D121" i="9"/>
  <c r="D18" i="9"/>
  <c r="D31" i="9"/>
  <c r="D30" i="9"/>
  <c r="D164" i="9"/>
  <c r="D222" i="9"/>
  <c r="D120" i="9"/>
  <c r="D223" i="9"/>
  <c r="D15" i="9"/>
  <c r="D118" i="9"/>
  <c r="D24" i="9"/>
  <c r="D104" i="9"/>
  <c r="D159" i="9"/>
  <c r="D225" i="9"/>
  <c r="D184" i="9"/>
  <c r="D113" i="9"/>
  <c r="D224" i="9"/>
  <c r="D28" i="9"/>
  <c r="D169" i="9"/>
  <c r="D38" i="9"/>
  <c r="D112" i="9"/>
  <c r="D186" i="9"/>
  <c r="D17" i="9"/>
  <c r="D27" i="9"/>
  <c r="D242" i="9"/>
  <c r="D101" i="9"/>
  <c r="D185" i="9"/>
  <c r="D16" i="9"/>
  <c r="D100" i="9"/>
  <c r="D183" i="9"/>
  <c r="D99" i="9"/>
  <c r="D182" i="9"/>
  <c r="D241" i="9"/>
  <c r="D170" i="9"/>
  <c r="D179" i="9"/>
  <c r="D233" i="9"/>
  <c r="D232" i="9"/>
  <c r="D105" i="9"/>
  <c r="D178" i="9"/>
  <c r="D160" i="9"/>
  <c r="D103" i="9"/>
  <c r="D168" i="9"/>
  <c r="D221" i="9"/>
  <c r="D102" i="9"/>
  <c r="D176" i="9"/>
  <c r="D220" i="9"/>
  <c r="D126" i="9"/>
  <c r="D167" i="9"/>
  <c r="D107" i="9"/>
  <c r="D106" i="9"/>
  <c r="D175" i="9"/>
  <c r="D115" i="9"/>
  <c r="D166" i="9"/>
  <c r="D50" i="9"/>
  <c r="D40" i="9"/>
  <c r="D116" i="9"/>
  <c r="D195" i="9"/>
  <c r="D114" i="9"/>
  <c r="D53" i="9"/>
  <c r="D54" i="9"/>
  <c r="D165" i="9"/>
  <c r="D117" i="9"/>
  <c r="D161" i="9"/>
  <c r="D39" i="9"/>
  <c r="C58" i="9"/>
  <c r="D58" i="9"/>
  <c r="C59" i="9"/>
  <c r="D59" i="9"/>
  <c r="D57" i="9"/>
</calcChain>
</file>

<file path=xl/sharedStrings.xml><?xml version="1.0" encoding="utf-8"?>
<sst xmlns="http://schemas.openxmlformats.org/spreadsheetml/2006/main" count="4777" uniqueCount="1086">
  <si>
    <t>copywrited program: May not be used or reproduced without the consent of Chip Moseley</t>
  </si>
  <si>
    <t>Version : 5.1</t>
  </si>
  <si>
    <t>Seeding</t>
  </si>
  <si>
    <t xml:space="preserve">Pool Ranking Multiplier = </t>
  </si>
  <si>
    <t>Tournament Name</t>
  </si>
  <si>
    <t>Carolina one Kid Pwr Challenge</t>
  </si>
  <si>
    <t>Date</t>
  </si>
  <si>
    <t>#</t>
  </si>
  <si>
    <t>Team Name</t>
  </si>
  <si>
    <t>Team Code</t>
  </si>
  <si>
    <t>Initial Ranking</t>
  </si>
  <si>
    <t>Pool Play</t>
  </si>
  <si>
    <t>Finals</t>
  </si>
  <si>
    <t xml:space="preserve">Playoff Ranking Multiplier = </t>
  </si>
  <si>
    <t>Site:</t>
  </si>
  <si>
    <t>Age</t>
  </si>
  <si>
    <t>Division</t>
  </si>
  <si>
    <t>Club</t>
  </si>
  <si>
    <t>Power</t>
  </si>
  <si>
    <t>Gym Supervisor</t>
  </si>
  <si>
    <t>Supr e-mail:</t>
  </si>
  <si>
    <t xml:space="preserve">Supr Cell #: </t>
  </si>
  <si>
    <t>C1VB Juniors Royal</t>
  </si>
  <si>
    <t>fj2crone5pm</t>
  </si>
  <si>
    <t xml:space="preserve"> </t>
  </si>
  <si>
    <t>fj2crone4pm</t>
  </si>
  <si>
    <t>POOL:</t>
  </si>
  <si>
    <t>AA</t>
  </si>
  <si>
    <t>COURT:</t>
  </si>
  <si>
    <t>USA 12's Pink</t>
  </si>
  <si>
    <t>fj2unsel3cr</t>
  </si>
  <si>
    <t>Team #</t>
  </si>
  <si>
    <t>Total Pool Net Points</t>
  </si>
  <si>
    <t>% Total
Net Points</t>
  </si>
  <si>
    <t>Game Win %</t>
  </si>
  <si>
    <t>Pool Finish</t>
  </si>
  <si>
    <t>Playoff Finish</t>
  </si>
  <si>
    <t>Games per Match (1-5)</t>
  </si>
  <si>
    <t>Matches (1-10)</t>
  </si>
  <si>
    <t>Teams in Pool (1-5)</t>
  </si>
  <si>
    <t>SC Midlands KP Black</t>
  </si>
  <si>
    <t>fj2scmid4pm</t>
  </si>
  <si>
    <t>0-Count Games 1-Count Matches</t>
  </si>
  <si>
    <t>fj2mtnel1pm</t>
  </si>
  <si>
    <t>Game Win % 0 = No  1 = Yes</t>
  </si>
  <si>
    <t># of Matches/Games per Team</t>
  </si>
  <si>
    <t xml:space="preserve"> POOL PLAY FORMAT:  2 Game of 20 mins 5 mins between matches</t>
  </si>
  <si>
    <t>Sch Start</t>
  </si>
  <si>
    <t>Note: The Pool Finish Summary at the bottom of the sheet will fill in AUTOMATICALLY once the POOL FINISH column (at left) is filled in.</t>
  </si>
  <si>
    <t>Actual Start</t>
  </si>
  <si>
    <t>End Time</t>
  </si>
  <si>
    <t>Match 1</t>
  </si>
  <si>
    <t>2 refs</t>
  </si>
  <si>
    <t>1 refs</t>
  </si>
  <si>
    <t>3 refs</t>
  </si>
  <si>
    <t>4 refs</t>
  </si>
  <si>
    <t>Net Points</t>
  </si>
  <si>
    <t>Total</t>
  </si>
  <si>
    <t>v</t>
  </si>
  <si>
    <t>Game 1</t>
  </si>
  <si>
    <t>/</t>
  </si>
  <si>
    <t>Gm1 Win</t>
  </si>
  <si>
    <t>Gm2 Win</t>
  </si>
  <si>
    <t>Gm3 Win</t>
  </si>
  <si>
    <t>Gm4 Win</t>
  </si>
  <si>
    <t>Gm5 Win</t>
  </si>
  <si>
    <t>Sum Game Win/Loss</t>
  </si>
  <si>
    <t>Match Won/Lost</t>
  </si>
  <si>
    <t>Gm1 Pts</t>
  </si>
  <si>
    <t>Gm2 Pts</t>
  </si>
  <si>
    <t>Gm3 Pts</t>
  </si>
  <si>
    <t>Gm4 Pts</t>
  </si>
  <si>
    <t>Gm5 Pts</t>
  </si>
  <si>
    <t>Sum Match Points</t>
  </si>
  <si>
    <t>Matches</t>
  </si>
  <si>
    <t>Match Wins by Team</t>
  </si>
  <si>
    <t>Match Losses by Team</t>
  </si>
  <si>
    <t>Tm1 Wins</t>
  </si>
  <si>
    <t>Tm2 Wins</t>
  </si>
  <si>
    <t>Tm3 Wins</t>
  </si>
  <si>
    <t>Tm4 Wins</t>
  </si>
  <si>
    <t>Tm5 Wins</t>
  </si>
  <si>
    <t>Matches played by team</t>
  </si>
  <si>
    <t>Tm1 Play</t>
  </si>
  <si>
    <t>Tm2 Play</t>
  </si>
  <si>
    <t>Tm3 Play</t>
  </si>
  <si>
    <t>Tm4 Play</t>
  </si>
  <si>
    <t>Tm5 Play</t>
  </si>
  <si>
    <t>Total Points played by team</t>
  </si>
  <si>
    <t>Games</t>
  </si>
  <si>
    <t>Game Wins by Team</t>
  </si>
  <si>
    <t>Game Losses by Team</t>
  </si>
  <si>
    <t>Games Played this Match</t>
  </si>
  <si>
    <t>Games played by team</t>
  </si>
  <si>
    <t>Init</t>
  </si>
  <si>
    <t>End of Pool</t>
  </si>
  <si>
    <t>Init Rating</t>
  </si>
  <si>
    <t>Exp wins</t>
  </si>
  <si>
    <t>New Rating</t>
  </si>
  <si>
    <t>BB</t>
  </si>
  <si>
    <t xml:space="preserve"> POOL PLAY FORMAT:  2 Game of 15 mins 3 mins between matches</t>
  </si>
  <si>
    <t>Potential  AM Wave</t>
  </si>
  <si>
    <t>see worksheet</t>
  </si>
  <si>
    <t>Note</t>
  </si>
  <si>
    <t>Check back for revisions</t>
  </si>
  <si>
    <t>updated</t>
  </si>
  <si>
    <t>A</t>
  </si>
  <si>
    <t>Team 10</t>
  </si>
  <si>
    <t>Code 10</t>
  </si>
  <si>
    <t>Team 11</t>
  </si>
  <si>
    <t>Code 11</t>
  </si>
  <si>
    <t>Team 12</t>
  </si>
  <si>
    <t>Code 12</t>
  </si>
  <si>
    <t>Team 13</t>
  </si>
  <si>
    <t>Code 13</t>
  </si>
  <si>
    <t>Team 14</t>
  </si>
  <si>
    <t>Code 14</t>
  </si>
  <si>
    <t>Team 15</t>
  </si>
  <si>
    <t>Code 15</t>
  </si>
  <si>
    <t xml:space="preserve"> POOL PLAY FORMAT:  2 Game of 15 mins 2 mins between matches</t>
  </si>
  <si>
    <t>Team 16</t>
  </si>
  <si>
    <t>Code 16</t>
  </si>
  <si>
    <t>Warning -- Do not use CUT/PASTE to move teams in table.  Only use COPY/PASTE or seeded cells will be corrupted.</t>
  </si>
  <si>
    <t>B</t>
  </si>
  <si>
    <t>POOL FINISH SUMMARY</t>
  </si>
  <si>
    <t>Enter Pool Name</t>
  </si>
  <si>
    <t>First</t>
  </si>
  <si>
    <t>Second</t>
  </si>
  <si>
    <t>Third</t>
  </si>
  <si>
    <t>Fourth</t>
  </si>
  <si>
    <t>Code</t>
  </si>
  <si>
    <t>Court 1</t>
  </si>
  <si>
    <t>Court 2</t>
  </si>
  <si>
    <t>Court 3</t>
  </si>
  <si>
    <t>CSNS 12-1</t>
  </si>
  <si>
    <t>Entries</t>
  </si>
  <si>
    <t>R</t>
  </si>
  <si>
    <t>Rank</t>
  </si>
  <si>
    <t>Club name</t>
  </si>
  <si>
    <t>Level</t>
  </si>
  <si>
    <t>Current Rating</t>
  </si>
  <si>
    <t>fj1mvpjc1pm</t>
  </si>
  <si>
    <t>MVP</t>
  </si>
  <si>
    <t>MVP 11-Gold</t>
  </si>
  <si>
    <t>Carolina One</t>
  </si>
  <si>
    <t>Excell Sports</t>
  </si>
  <si>
    <t>fj2caris1pm</t>
  </si>
  <si>
    <t>Carolina Islanders</t>
  </si>
  <si>
    <t>Car. Islanders 12 Elite</t>
  </si>
  <si>
    <t>fj2kersh1pm</t>
  </si>
  <si>
    <t>Kershaw County Juniors</t>
  </si>
  <si>
    <t>Kershaw 12 Black</t>
  </si>
  <si>
    <t>fj2lakem1pm</t>
  </si>
  <si>
    <t>Lake Murray Volleyball Club</t>
  </si>
  <si>
    <t>fj2mvpjc1pm</t>
  </si>
  <si>
    <t>MVP 12-Gold</t>
  </si>
  <si>
    <t>fj2mvpjc2pm</t>
  </si>
  <si>
    <t>MVP 12-Black</t>
  </si>
  <si>
    <t>fj2upwrd1pm</t>
  </si>
  <si>
    <t>Upward Stars</t>
  </si>
  <si>
    <t>Upward Stars 12 Angie</t>
  </si>
  <si>
    <t>fj2pstri1pm</t>
  </si>
  <si>
    <t>MOTO</t>
  </si>
  <si>
    <t>Magnum Volleyball Club</t>
  </si>
  <si>
    <t>fj2pstri2pm</t>
  </si>
  <si>
    <t>fj2vison1pm</t>
  </si>
  <si>
    <t>fj2scmid1pm</t>
  </si>
  <si>
    <t>SC Midlands Volleyball</t>
  </si>
  <si>
    <t>SC Midlands 12 Black</t>
  </si>
  <si>
    <t>fj2crone1pm</t>
  </si>
  <si>
    <t>C1VB 12 Regional Grvl</t>
  </si>
  <si>
    <t>fj2crone2pm</t>
  </si>
  <si>
    <t>C1VB 12 State Grvl</t>
  </si>
  <si>
    <t>fj2crone3pm</t>
  </si>
  <si>
    <t>fj2crosf1pm</t>
  </si>
  <si>
    <t>Crossfire Volleyball</t>
  </si>
  <si>
    <t>fj2csrah1pm</t>
  </si>
  <si>
    <t>CSRA Heat</t>
  </si>
  <si>
    <t>CSRA Heat 12 Gold</t>
  </si>
  <si>
    <t>fj2ecity1pm</t>
  </si>
  <si>
    <t>Emerald City 12-1</t>
  </si>
  <si>
    <t>fj2footh1pm</t>
  </si>
  <si>
    <t>Foothills Volleyball Club</t>
  </si>
  <si>
    <t>Fort Mill VBC</t>
  </si>
  <si>
    <t>GRAND STRAND JUNIORS VOLLEYBALL</t>
  </si>
  <si>
    <t>fj2inten3pm</t>
  </si>
  <si>
    <t>Intense Volleyball</t>
  </si>
  <si>
    <t>fj2kersh2pm</t>
  </si>
  <si>
    <t>Kershaw 12 White</t>
  </si>
  <si>
    <t>fj2scmid2pm</t>
  </si>
  <si>
    <t>fj2scwea1pm</t>
  </si>
  <si>
    <t>SCWE12FLYERS</t>
  </si>
  <si>
    <t>fj2inten2pm</t>
  </si>
  <si>
    <t>fj2scmid3pm</t>
  </si>
  <si>
    <t>SC Midlands KP Boys</t>
  </si>
  <si>
    <t>fj2crone6pm</t>
  </si>
  <si>
    <t>fj2footh2pm</t>
  </si>
  <si>
    <t>fj2footh3pm</t>
  </si>
  <si>
    <t>Foothills 12 Kim</t>
  </si>
  <si>
    <t>fj2kersh3pm</t>
  </si>
  <si>
    <t>Kershaw Dev 12 Black</t>
  </si>
  <si>
    <t>fj2kersh4pm</t>
  </si>
  <si>
    <t>Kershaw Dev 12 White</t>
  </si>
  <si>
    <t>fj2kvcjr1pm</t>
  </si>
  <si>
    <t>KVC Jrs</t>
  </si>
  <si>
    <t>KVC 12 Dev</t>
  </si>
  <si>
    <t>Mountain Elite Volleyball Club</t>
  </si>
  <si>
    <t>SC Midlands KP Garnet</t>
  </si>
  <si>
    <t>fj3crone1pm</t>
  </si>
  <si>
    <t>fj3crone2pm</t>
  </si>
  <si>
    <t>fj3crosf1pm</t>
  </si>
  <si>
    <t>fj3csrah1pm</t>
  </si>
  <si>
    <t>CSRA Heat 13 Gold</t>
  </si>
  <si>
    <t>fj3inten1pm</t>
  </si>
  <si>
    <t>fj3magnm1pm</t>
  </si>
  <si>
    <t>Magnum 13 Mizuno</t>
  </si>
  <si>
    <t>fj3mvpjc1pm</t>
  </si>
  <si>
    <t>MVP 13-Gold</t>
  </si>
  <si>
    <t>fj3mvpjc2pm</t>
  </si>
  <si>
    <t>MVP 13-Black</t>
  </si>
  <si>
    <t>fj3pstri1pm</t>
  </si>
  <si>
    <t>fj3scmid1pm</t>
  </si>
  <si>
    <t>fj3pstri2pm</t>
  </si>
  <si>
    <t>fj3magnm2pm</t>
  </si>
  <si>
    <t>fj3upwrd2pm</t>
  </si>
  <si>
    <t>fj3pstri3pm</t>
  </si>
  <si>
    <t>fj3crone3pm</t>
  </si>
  <si>
    <t>C1VB 13 Regional Grvl</t>
  </si>
  <si>
    <t>fj3crosf2pm</t>
  </si>
  <si>
    <t>fj3csrah2pm</t>
  </si>
  <si>
    <t>CSRA Heat 13 Black</t>
  </si>
  <si>
    <t>fj3footh1pm</t>
  </si>
  <si>
    <t>fj3inten2pm</t>
  </si>
  <si>
    <t>fj3inten3pm</t>
  </si>
  <si>
    <t>fj3inten4pm</t>
  </si>
  <si>
    <t>Orangeburg Lady Cubs</t>
  </si>
  <si>
    <t>Palmetto Rage Volleyball Club</t>
  </si>
  <si>
    <t>fj3scmid2pm</t>
  </si>
  <si>
    <t>SC Midlands 13 Black</t>
  </si>
  <si>
    <t>fj3scmid3pm</t>
  </si>
  <si>
    <t>SC Midlands 13 Garnet</t>
  </si>
  <si>
    <t>fj3sumtr1pm</t>
  </si>
  <si>
    <t>Sumter VBC</t>
  </si>
  <si>
    <t>fj3vison1pm</t>
  </si>
  <si>
    <t>fj4crone1pm</t>
  </si>
  <si>
    <t>fj4crone2pm</t>
  </si>
  <si>
    <t>C1VB 14 Power Grvl</t>
  </si>
  <si>
    <t>fj4crosf1pm</t>
  </si>
  <si>
    <t>fj4csrah1pm</t>
  </si>
  <si>
    <t>fj4csrah2pm</t>
  </si>
  <si>
    <t>fj4inten1pm</t>
  </si>
  <si>
    <t>fj4inten2pm</t>
  </si>
  <si>
    <t>fj4inten3pm</t>
  </si>
  <si>
    <t>fj4inten5pm</t>
  </si>
  <si>
    <t>fj4inten6pm</t>
  </si>
  <si>
    <t>fj4kersh1pm</t>
  </si>
  <si>
    <t>Kershaw 14 Black</t>
  </si>
  <si>
    <t>fj4lowco1pm</t>
  </si>
  <si>
    <t>Low Country Volleyball Club</t>
  </si>
  <si>
    <t>fj4lowco2pm</t>
  </si>
  <si>
    <t>fj4magnm1pm</t>
  </si>
  <si>
    <t>Magnum 14 Mizuno</t>
  </si>
  <si>
    <t>fj4magnm2pm</t>
  </si>
  <si>
    <t>Magnum 14 Elite</t>
  </si>
  <si>
    <t>fj4mvpjc1pm</t>
  </si>
  <si>
    <t>MVP 14-Gold</t>
  </si>
  <si>
    <t>fj4pstri1pm</t>
  </si>
  <si>
    <t>fj4pstri2pm</t>
  </si>
  <si>
    <t>fj4scmid1pm</t>
  </si>
  <si>
    <t>fj4scmid2pm</t>
  </si>
  <si>
    <t>fj4upwrd2pm</t>
  </si>
  <si>
    <t>fj4vison1pm</t>
  </si>
  <si>
    <t>fj4mtnel1pm</t>
  </si>
  <si>
    <t>fj4upwrd3pm</t>
  </si>
  <si>
    <t>Upward Stars 14 Tara</t>
  </si>
  <si>
    <t>fj4fortm1pm</t>
  </si>
  <si>
    <t>fj4pstri3pm</t>
  </si>
  <si>
    <t>ATown Volleyball Academy</t>
  </si>
  <si>
    <t>Columbia SC Starlings</t>
  </si>
  <si>
    <t>fj4ladyc1pm</t>
  </si>
  <si>
    <t>OLC 14s Purple Elite</t>
  </si>
  <si>
    <t>fj4mbeac1pm</t>
  </si>
  <si>
    <t>fj4crone3pm</t>
  </si>
  <si>
    <t>C1VB 14 Reg Black Grvl</t>
  </si>
  <si>
    <t>fj4crone4pm</t>
  </si>
  <si>
    <t>C1VB 14 Reg Royal Grvl</t>
  </si>
  <si>
    <t>fj4crone5pm</t>
  </si>
  <si>
    <t>C1VB 14 State Grvl</t>
  </si>
  <si>
    <t>fj4crosf2pm</t>
  </si>
  <si>
    <t>fj4csrah3pm</t>
  </si>
  <si>
    <t>CSRA Heat 14 Black</t>
  </si>
  <si>
    <t>fj4csrah4pm</t>
  </si>
  <si>
    <t>CSRA Heat 14 Red</t>
  </si>
  <si>
    <t>fj4csrah5pm</t>
  </si>
  <si>
    <t>CSRA Heat 14 White</t>
  </si>
  <si>
    <t>fj4ecity1pm</t>
  </si>
  <si>
    <t>Emerald City 14-1</t>
  </si>
  <si>
    <t>fj4footh1pm</t>
  </si>
  <si>
    <t>fj4inten4pm</t>
  </si>
  <si>
    <t>fj4lakem2pm</t>
  </si>
  <si>
    <t>fj4scmid3pm</t>
  </si>
  <si>
    <t>SC Midlands 14 Black</t>
  </si>
  <si>
    <t>fj4scmid4pm</t>
  </si>
  <si>
    <t>fj4scwea1pm</t>
  </si>
  <si>
    <t>SCWE14AERIES</t>
  </si>
  <si>
    <t>fj4scwea2pm</t>
  </si>
  <si>
    <t>SCWE14TALONS</t>
  </si>
  <si>
    <t>fj4sumtr1pm</t>
  </si>
  <si>
    <t>Beaufort Volleyball Club</t>
  </si>
  <si>
    <t>fj5crone1pm</t>
  </si>
  <si>
    <t>C1VB 15 National Grvl</t>
  </si>
  <si>
    <t>fj5crone2pm</t>
  </si>
  <si>
    <t>C1VB 15 Elite Grvl</t>
  </si>
  <si>
    <t>fj5crone3pm</t>
  </si>
  <si>
    <t>C1VB 15 Power Grvl</t>
  </si>
  <si>
    <t>fj5crone4pm</t>
  </si>
  <si>
    <t>fj5csrah1pm</t>
  </si>
  <si>
    <t>CSRA Heat 15 National</t>
  </si>
  <si>
    <t>fj5inten1pm</t>
  </si>
  <si>
    <t>fj5inten2pm</t>
  </si>
  <si>
    <t>fj5inten3pm</t>
  </si>
  <si>
    <t>fj5lakem1pm</t>
  </si>
  <si>
    <t>fj5magnm1pm</t>
  </si>
  <si>
    <t>Magnum 15 Mizuno</t>
  </si>
  <si>
    <t>fj5magnm2pm</t>
  </si>
  <si>
    <t>Magnum 15 Elite</t>
  </si>
  <si>
    <t>fj5mtnel1pm</t>
  </si>
  <si>
    <t>fj5pstri1pm</t>
  </si>
  <si>
    <t>fj5scmid1pm</t>
  </si>
  <si>
    <t>SC Midlands 15 National</t>
  </si>
  <si>
    <t>fj5scmid2pm</t>
  </si>
  <si>
    <t>Upstate Volleyball Club</t>
  </si>
  <si>
    <t>fj5csrah2pm</t>
  </si>
  <si>
    <t>CSRA Heat 15 Gold</t>
  </si>
  <si>
    <t>fj5upwrd3pm</t>
  </si>
  <si>
    <t>fj5upwrd4pm</t>
  </si>
  <si>
    <t>Upward Stars 15 Brittni</t>
  </si>
  <si>
    <t>fj5atown1pm</t>
  </si>
  <si>
    <t>fj5mbeac1pm</t>
  </si>
  <si>
    <t>Branchville Juniors</t>
  </si>
  <si>
    <t>fj5crone5pm</t>
  </si>
  <si>
    <t>C1VB 15 Regional Grvl</t>
  </si>
  <si>
    <t>High Velocity VBC</t>
  </si>
  <si>
    <t>fj5pstri2pm</t>
  </si>
  <si>
    <t>fj5sandh1pm</t>
  </si>
  <si>
    <t>Sandhills Volleyball Club</t>
  </si>
  <si>
    <t>SVBC Blazers 15</t>
  </si>
  <si>
    <t>fj5scmid3pm</t>
  </si>
  <si>
    <t>SC Midlands 15 Black</t>
  </si>
  <si>
    <t>fj5scmid4pm</t>
  </si>
  <si>
    <t>fj5vison1pm</t>
  </si>
  <si>
    <t>fj6crchv1cr</t>
  </si>
  <si>
    <t>Carolina Chaos 16-1</t>
  </si>
  <si>
    <t>fj6crone1pm</t>
  </si>
  <si>
    <t>C1VB 16 National Grvl</t>
  </si>
  <si>
    <t>fj6crosf1pm</t>
  </si>
  <si>
    <t>fj6csrah1pm</t>
  </si>
  <si>
    <t>CSRA Heat 16 National</t>
  </si>
  <si>
    <t>fj6grand1pm</t>
  </si>
  <si>
    <t>fj6hvelo1pm</t>
  </si>
  <si>
    <t>fj6inten1pm</t>
  </si>
  <si>
    <t>fj6inten2pm</t>
  </si>
  <si>
    <t>fj6kersh1pm</t>
  </si>
  <si>
    <t>Kershaw 16 Black</t>
  </si>
  <si>
    <t>fj6lakem1pm</t>
  </si>
  <si>
    <t>fj6lowco1pm</t>
  </si>
  <si>
    <t>fj6magnm1pm</t>
  </si>
  <si>
    <t>Magnum 16 Mizuno</t>
  </si>
  <si>
    <t>fj6magnm2pm</t>
  </si>
  <si>
    <t>fj6scmid1pm</t>
  </si>
  <si>
    <t>SC Midlands 16 National</t>
  </si>
  <si>
    <t>fj6scmid2pm</t>
  </si>
  <si>
    <t>fj6tlife1cr</t>
  </si>
  <si>
    <t>TLVC 16U</t>
  </si>
  <si>
    <t>fj6vison1pm</t>
  </si>
  <si>
    <t>fj6pstri1pm</t>
  </si>
  <si>
    <t>fj6beauf1pm</t>
  </si>
  <si>
    <t>fj6csrah2pm</t>
  </si>
  <si>
    <t>CSRA Heat 16 Gold</t>
  </si>
  <si>
    <t>fj6atown2pm</t>
  </si>
  <si>
    <t>fj6excel1pm</t>
  </si>
  <si>
    <t>fj6kvcjr1pm</t>
  </si>
  <si>
    <t>KVC 16</t>
  </si>
  <si>
    <t>fj6pstri2pm</t>
  </si>
  <si>
    <t>fj6upwrd3pm</t>
  </si>
  <si>
    <t>fj6upwrd4pm</t>
  </si>
  <si>
    <t>Upward Stars 16 Tonja</t>
  </si>
  <si>
    <t>fj6upwrd5pm</t>
  </si>
  <si>
    <t>fj6mbeac1pm</t>
  </si>
  <si>
    <t>fj6atown1pm</t>
  </si>
  <si>
    <t>ATown 16 Black</t>
  </si>
  <si>
    <t>fj6aelit1pm</t>
  </si>
  <si>
    <t>Augusta Elite</t>
  </si>
  <si>
    <t>fj6inten3pm</t>
  </si>
  <si>
    <t>fj6lakem2pm</t>
  </si>
  <si>
    <t>fj6scmid3pm</t>
  </si>
  <si>
    <t>fj6scwea1pm</t>
  </si>
  <si>
    <t>SCWE16RAPTORS</t>
  </si>
  <si>
    <t>fj7csrah1pm</t>
  </si>
  <si>
    <t>CSRA Heat 17 National</t>
  </si>
  <si>
    <t>fj7inten1pm</t>
  </si>
  <si>
    <t>fj7pstri1pm</t>
  </si>
  <si>
    <t>fj7scmid1pm</t>
  </si>
  <si>
    <t>fj7scmid2pm</t>
  </si>
  <si>
    <t>fj7upwrd3pm</t>
  </si>
  <si>
    <t>fj7atown1pm</t>
  </si>
  <si>
    <t>ATown 17 Black</t>
  </si>
  <si>
    <t>fj7beauf1pm</t>
  </si>
  <si>
    <t>Beaufort Seventeens</t>
  </si>
  <si>
    <t>fj7footh1pm</t>
  </si>
  <si>
    <t>Foothills 17 Matt</t>
  </si>
  <si>
    <t>fj7scmid3pm</t>
  </si>
  <si>
    <t>SC Midlands 17 Black</t>
  </si>
  <si>
    <t>fj8caris1pm</t>
  </si>
  <si>
    <t>fj8crchv1cr</t>
  </si>
  <si>
    <t>fj8crone1pm</t>
  </si>
  <si>
    <t>KC11 Volleyball Club</t>
  </si>
  <si>
    <t>fj8lakem1pm</t>
  </si>
  <si>
    <t>fj8lowco1pm</t>
  </si>
  <si>
    <t>fj8tlife1cr</t>
  </si>
  <si>
    <t>TLVC 18U</t>
  </si>
  <si>
    <t>fj8upsvc1pm</t>
  </si>
  <si>
    <t>fj8scmid1pm</t>
  </si>
  <si>
    <t>fj8aelit1pm</t>
  </si>
  <si>
    <t>fj8sandh1pm</t>
  </si>
  <si>
    <t>SVBC Blazers 18</t>
  </si>
  <si>
    <t>fj8sumtr1pm</t>
  </si>
  <si>
    <t>fj2biltm1cr</t>
  </si>
  <si>
    <t>BVA 12 Black</t>
  </si>
  <si>
    <t>fj3biltm1cr</t>
  </si>
  <si>
    <t>BVA 13 Black</t>
  </si>
  <si>
    <t>fj3biltm2cr</t>
  </si>
  <si>
    <t>BVA 13 White</t>
  </si>
  <si>
    <t>Extreme 13-1</t>
  </si>
  <si>
    <t>fj3biltm3cr</t>
  </si>
  <si>
    <t>BVA 13 Purple</t>
  </si>
  <si>
    <t>P31 13-1</t>
  </si>
  <si>
    <t>fj4biltm2cr</t>
  </si>
  <si>
    <t>BVA 14 Black</t>
  </si>
  <si>
    <t>fj4biltm1cr</t>
  </si>
  <si>
    <t>fj7triex2so</t>
  </si>
  <si>
    <t>fj8carun3cr</t>
  </si>
  <si>
    <t>Shelby Strikers</t>
  </si>
  <si>
    <t>fj2galxy1cr</t>
  </si>
  <si>
    <t>fj3galxy1cr</t>
  </si>
  <si>
    <t>fj7unsel1cr</t>
  </si>
  <si>
    <t>FJ2SCWEA1PM</t>
  </si>
  <si>
    <t>PSVC 11/12 Megan</t>
  </si>
  <si>
    <t>FJ2PSTRI4PM</t>
  </si>
  <si>
    <t>FJ2SCMID2PM</t>
  </si>
  <si>
    <t>Excell Palmetto State 12</t>
  </si>
  <si>
    <t>FJ2EXCEL3PM</t>
  </si>
  <si>
    <t>FJ2KERSH3PM</t>
  </si>
  <si>
    <t>FJ2FOOTH3PM</t>
  </si>
  <si>
    <t>FJ2UNSEL3CR</t>
  </si>
  <si>
    <t>Crossfire 12 Jrs</t>
  </si>
  <si>
    <t>FJ2CROSF3PM</t>
  </si>
  <si>
    <t>Emerald City 12-Dev</t>
  </si>
  <si>
    <t>FJ2ECITY3PM</t>
  </si>
  <si>
    <t>BVA 11</t>
  </si>
  <si>
    <t>FJ1BILTM1CR</t>
  </si>
  <si>
    <t>FJ2SCMID3PM</t>
  </si>
  <si>
    <t>FJ2KERSH4PM</t>
  </si>
  <si>
    <t>Kershaw Dev 12 Blue</t>
  </si>
  <si>
    <t>FJ2KERSH5PM</t>
  </si>
  <si>
    <t>Foothills 12 Cait</t>
  </si>
  <si>
    <t>FJ2FootH4PM</t>
  </si>
  <si>
    <t>USA 12's Purple Carey</t>
  </si>
  <si>
    <t>FJ1UNSEL2CR</t>
  </si>
  <si>
    <t>MBVC 12U Elite Karla</t>
  </si>
  <si>
    <t>FJ2MBEAC1PM</t>
  </si>
  <si>
    <t>Region</t>
  </si>
  <si>
    <t>Team cod</t>
  </si>
  <si>
    <t>1/6/18
Rating</t>
  </si>
  <si>
    <t>1/13/18
Rating</t>
  </si>
  <si>
    <t>1/20/18
Rating</t>
  </si>
  <si>
    <t>1/27/18
Rating</t>
  </si>
  <si>
    <t>2/3/18
Rating</t>
  </si>
  <si>
    <t>2/10/18
Rating</t>
  </si>
  <si>
    <t>2/17/18
Rating</t>
  </si>
  <si>
    <t>2/24/18
Rating</t>
  </si>
  <si>
    <t>3/3/18
 Rating</t>
  </si>
  <si>
    <t>3/10/18
Rating</t>
  </si>
  <si>
    <t>3/17/18
Rating</t>
  </si>
  <si>
    <t>3/24/18
Rating</t>
  </si>
  <si>
    <t>3/31/18
Rating</t>
  </si>
  <si>
    <t>4/7/16
Rating</t>
  </si>
  <si>
    <t>fj1mvpjc2pm</t>
  </si>
  <si>
    <t>MVP 11-Black</t>
  </si>
  <si>
    <t>fj1unsel2cr</t>
  </si>
  <si>
    <t>Union Select Academy</t>
  </si>
  <si>
    <t>USA 12's Purple</t>
  </si>
  <si>
    <t>fj1mtnel1pm</t>
  </si>
  <si>
    <t>MEVCDevSteph</t>
  </si>
  <si>
    <t>fj1biltm1cr</t>
  </si>
  <si>
    <t>Biltmore Volleyball Academy</t>
  </si>
  <si>
    <t>MEVC12Kenny</t>
  </si>
  <si>
    <t>Palmetto Strikers Volleyball Club</t>
  </si>
  <si>
    <t>PSVC 12 Brett</t>
  </si>
  <si>
    <t>fj2slegy1pm</t>
  </si>
  <si>
    <t>Southern Legacy Volleyball</t>
  </si>
  <si>
    <t>Southern Legacy 12-1</t>
  </si>
  <si>
    <t>Vision Volleyball Academy</t>
  </si>
  <si>
    <t>Vision 12</t>
  </si>
  <si>
    <t>fj2inten1pm</t>
  </si>
  <si>
    <t>Ivc 12 Perf Adidas Janet</t>
  </si>
  <si>
    <t>PSVC 12 Mary Jo</t>
  </si>
  <si>
    <t>fj2pstri3pm</t>
  </si>
  <si>
    <t>PSVC 12 Christie</t>
  </si>
  <si>
    <t>fj2pstri4pm</t>
  </si>
  <si>
    <t>Intense 12 Region Jacob</t>
  </si>
  <si>
    <t>fj2axise3pm</t>
  </si>
  <si>
    <t>Axis Elite Volleyball Academy</t>
  </si>
  <si>
    <t>Axis 12 NT Gold Adidas</t>
  </si>
  <si>
    <t>fj2bbear1pm</t>
  </si>
  <si>
    <t>Black Bears</t>
  </si>
  <si>
    <t>Black Bears 12</t>
  </si>
  <si>
    <t>C1VB 12 Regional Pickens</t>
  </si>
  <si>
    <t>fj2celitapm</t>
  </si>
  <si>
    <t>Charleston Elite</t>
  </si>
  <si>
    <t>CHSElite 12</t>
  </si>
  <si>
    <t>fj2clubs1pm</t>
  </si>
  <si>
    <t>Club South NS</t>
  </si>
  <si>
    <t>Crossfire 12 George</t>
  </si>
  <si>
    <t>fj2crosf2pm</t>
  </si>
  <si>
    <t>Crossfire 12 Kaitlyn</t>
  </si>
  <si>
    <t>Emerald City Juniors</t>
  </si>
  <si>
    <t>Foothills 12 Liam</t>
  </si>
  <si>
    <t>fj2grand2pm</t>
  </si>
  <si>
    <t>GSJ 12 Brittany</t>
  </si>
  <si>
    <t>Lake Murray 12 Reg Black</t>
  </si>
  <si>
    <t>fj2mtnel2pm</t>
  </si>
  <si>
    <t>MEVC12Josie</t>
  </si>
  <si>
    <t>fj2srsvc1pm</t>
  </si>
  <si>
    <t>Savannah River Select</t>
  </si>
  <si>
    <t>SRS 12 Blue</t>
  </si>
  <si>
    <t>fj2srsvc2pm</t>
  </si>
  <si>
    <t>SRS 12 Red</t>
  </si>
  <si>
    <t>SC Midlands 12U Boys</t>
  </si>
  <si>
    <t>fj2slegy2pm</t>
  </si>
  <si>
    <t>Southern Legacy 12-2</t>
  </si>
  <si>
    <t>fj2upwrd2pm</t>
  </si>
  <si>
    <t>Upward Stars 12 Candi</t>
  </si>
  <si>
    <t>fj2clebl1cr</t>
  </si>
  <si>
    <t>Cleveland County Blitz VBC</t>
  </si>
  <si>
    <t>Blitz 12U</t>
  </si>
  <si>
    <t>Gaston Galaxy</t>
  </si>
  <si>
    <t>Gaston Galaxy U12</t>
  </si>
  <si>
    <t>fj2mbeac1pm</t>
  </si>
  <si>
    <t>Myrtle Beach Volleyball Club</t>
  </si>
  <si>
    <t>12U Elite Karla</t>
  </si>
  <si>
    <t>C1VB Juniors Blue</t>
  </si>
  <si>
    <t>C1VB Juniors Red</t>
  </si>
  <si>
    <t>C1VB Juniors Yellow</t>
  </si>
  <si>
    <t>fj2crosf3pm</t>
  </si>
  <si>
    <t>fj2ecity3pm</t>
  </si>
  <si>
    <t>Emerald City 12-Develop</t>
  </si>
  <si>
    <t>fj2excel3pm</t>
  </si>
  <si>
    <t>fj2footh4pm</t>
  </si>
  <si>
    <t>fj2kersh5pm</t>
  </si>
  <si>
    <t>fj2ladyc1pm</t>
  </si>
  <si>
    <t>OLC 12s Purple</t>
  </si>
  <si>
    <t>SC War Eagles</t>
  </si>
  <si>
    <t>Ivc 13 elite Adidas Britt</t>
  </si>
  <si>
    <t>Intense 13 Perf Jim</t>
  </si>
  <si>
    <t>Intense 13 Perf Makaela</t>
  </si>
  <si>
    <t>fj3lakem1pm</t>
  </si>
  <si>
    <t>Lake Murray 13 Nat Red</t>
  </si>
  <si>
    <t>fj3lowco1pm</t>
  </si>
  <si>
    <t>LC 13 Tina</t>
  </si>
  <si>
    <t>PSVC 13 Cadie</t>
  </si>
  <si>
    <t>PSVC 13 Bailey</t>
  </si>
  <si>
    <t>SC Midlands 13 Perfor</t>
  </si>
  <si>
    <t>Upward Stars 13 BrittanyH</t>
  </si>
  <si>
    <t>Vision 13</t>
  </si>
  <si>
    <t>fj3dovej1cr</t>
  </si>
  <si>
    <t>DOVE</t>
  </si>
  <si>
    <t>D.O.V.E. 13s</t>
  </si>
  <si>
    <t>fj3twinc1cr</t>
  </si>
  <si>
    <t>Twin City Volleyball Academy</t>
  </si>
  <si>
    <t>TCVA 13 Royal</t>
  </si>
  <si>
    <t>fj3unite1so</t>
  </si>
  <si>
    <t>Club Unite</t>
  </si>
  <si>
    <t>Club Unite 13 Jo</t>
  </si>
  <si>
    <t>SC Midlands 13 National</t>
  </si>
  <si>
    <t>Magnum 13 Black</t>
  </si>
  <si>
    <t>PSVC 13 Julia</t>
  </si>
  <si>
    <t>fj3ptovb1so</t>
  </si>
  <si>
    <t>P31 Volleyball Club</t>
  </si>
  <si>
    <t>fj3srsvc1pm</t>
  </si>
  <si>
    <t>SRS 13 Blue</t>
  </si>
  <si>
    <t>fj3ecity1pm</t>
  </si>
  <si>
    <t>Emerald City 13-1</t>
  </si>
  <si>
    <t>fj3axise4pm</t>
  </si>
  <si>
    <t>Axis 13 NT Green Adidas</t>
  </si>
  <si>
    <t>C1VB 13 State Black</t>
  </si>
  <si>
    <t>C1VB 13 State Royal</t>
  </si>
  <si>
    <t>fj3celitapm</t>
  </si>
  <si>
    <t>CHSElite 13</t>
  </si>
  <si>
    <t>fj3clubs1pm</t>
  </si>
  <si>
    <t>CSNS 13-3</t>
  </si>
  <si>
    <t>Crossfire 13 Courtney</t>
  </si>
  <si>
    <t>Crossfire 13 Tait</t>
  </si>
  <si>
    <t>fj3csrah3pm</t>
  </si>
  <si>
    <t>CSRA Heat 13 White</t>
  </si>
  <si>
    <t>fj3diamt1pm</t>
  </si>
  <si>
    <t>DiamondT Spikerz</t>
  </si>
  <si>
    <t>DiamondT Spikerz 13U</t>
  </si>
  <si>
    <t>Foothills 13 King</t>
  </si>
  <si>
    <t>fj3hvelo1pm</t>
  </si>
  <si>
    <t>High Velocity 13's</t>
  </si>
  <si>
    <t>Intense 13 Region Elise</t>
  </si>
  <si>
    <t>fj3inten5pm</t>
  </si>
  <si>
    <t>Intense 13 Region Karli</t>
  </si>
  <si>
    <t>fj3inten6pm</t>
  </si>
  <si>
    <t>Intense 13 Region</t>
  </si>
  <si>
    <t>fj3inten7pm</t>
  </si>
  <si>
    <t>Intense 13 Region Lacey</t>
  </si>
  <si>
    <t>fj3kvcjr1pm</t>
  </si>
  <si>
    <t>KVC 13</t>
  </si>
  <si>
    <t>fj3lakem2pm</t>
  </si>
  <si>
    <t>Lake Murray 13 Reg Black</t>
  </si>
  <si>
    <t>fj3magnm3pm</t>
  </si>
  <si>
    <t>Magnum 13 Red</t>
  </si>
  <si>
    <t>fj3scmid4pm</t>
  </si>
  <si>
    <t>Sumter VBC 13-1</t>
  </si>
  <si>
    <t>Gaston Galaxy U13</t>
  </si>
  <si>
    <t>fj3thcts1cr</t>
  </si>
  <si>
    <t>Thunder Cats Volleyball Club</t>
  </si>
  <si>
    <t>TCVBYKD 13-1</t>
  </si>
  <si>
    <t>fj3unite3so</t>
  </si>
  <si>
    <t>Club Unite 13 Kayla</t>
  </si>
  <si>
    <t>fj3extvc1so</t>
  </si>
  <si>
    <t>Extreme Volleyball Club</t>
  </si>
  <si>
    <t>C1VB 14 Power Pickens</t>
  </si>
  <si>
    <t>Crossfire 14 Mellie</t>
  </si>
  <si>
    <t>Crossfire 14 Jerad</t>
  </si>
  <si>
    <t>Intense 14 Perform Harris</t>
  </si>
  <si>
    <t>fj4kc11j1pm</t>
  </si>
  <si>
    <t>KC11 14's</t>
  </si>
  <si>
    <t>LC 14 Corry</t>
  </si>
  <si>
    <t>fj4mvpjc2pm</t>
  </si>
  <si>
    <t>MVP 14-Black</t>
  </si>
  <si>
    <t>PSVC 14 Jamaica</t>
  </si>
  <si>
    <t>PSVC 14 Bethany</t>
  </si>
  <si>
    <t>PSVC 14 Brittanie</t>
  </si>
  <si>
    <t>fj4srsvc1pm</t>
  </si>
  <si>
    <t>SRS 14 Blue</t>
  </si>
  <si>
    <t>SC Midlands 14 National B</t>
  </si>
  <si>
    <t>SC Midlands 14 National G</t>
  </si>
  <si>
    <t>SC Midlands 14U Boys</t>
  </si>
  <si>
    <t>fj4upsvc1pm</t>
  </si>
  <si>
    <t>Upstate 14 Bre</t>
  </si>
  <si>
    <t>Upward Stars 14 Zach</t>
  </si>
  <si>
    <t>Vision 14</t>
  </si>
  <si>
    <t>fj4dovej1cr</t>
  </si>
  <si>
    <t>D.O.V.E. 14s</t>
  </si>
  <si>
    <t>fj4twinc3cr</t>
  </si>
  <si>
    <t>TCVA 14 Green</t>
  </si>
  <si>
    <t>fj4twinc1cr</t>
  </si>
  <si>
    <t>TCVA 14 Royal</t>
  </si>
  <si>
    <t>fj4unite1so</t>
  </si>
  <si>
    <t>Club Unite 14 Brandon</t>
  </si>
  <si>
    <t>C1VB 14 Elite Pickens</t>
  </si>
  <si>
    <t>CSRA Heat 14N-Connie</t>
  </si>
  <si>
    <t>Ivc 14 Adidas Elite MD</t>
  </si>
  <si>
    <t>Intense 14 Per Kaitlynn</t>
  </si>
  <si>
    <t>CSRA Heat 14N-Tori</t>
  </si>
  <si>
    <t>fj4excel1pm</t>
  </si>
  <si>
    <t>Excell 14 Premire</t>
  </si>
  <si>
    <t>Intense 14 perf Haley</t>
  </si>
  <si>
    <t>Fort Mill 14 Fury</t>
  </si>
  <si>
    <t>fj4pstri4pm</t>
  </si>
  <si>
    <t>PSVC 14 Doug</t>
  </si>
  <si>
    <t>fj4union1pm</t>
  </si>
  <si>
    <t>UNION COUNTY VOLLEYBALL CLUB</t>
  </si>
  <si>
    <t>UCVC-SC 14-1</t>
  </si>
  <si>
    <t>BVA 14 Elite</t>
  </si>
  <si>
    <t>fj4ignte1pm</t>
  </si>
  <si>
    <t>Ignite Volleyball Academy</t>
  </si>
  <si>
    <t>Ignite 14</t>
  </si>
  <si>
    <t>fj4ptovb1so</t>
  </si>
  <si>
    <t>P31 14-1</t>
  </si>
  <si>
    <t>fj4beauf1pm</t>
  </si>
  <si>
    <t>Beaufort Fourteens'</t>
  </si>
  <si>
    <t>14U Elite Walter</t>
  </si>
  <si>
    <t>Sumter VBC 14 - 1</t>
  </si>
  <si>
    <t>fj4axise4pm</t>
  </si>
  <si>
    <t>Axis 14 NT Black Adidas</t>
  </si>
  <si>
    <t>fj4bbear1pm</t>
  </si>
  <si>
    <t>Black Bears 14</t>
  </si>
  <si>
    <t>fj4branc1pm</t>
  </si>
  <si>
    <t>Branchville 14 Club</t>
  </si>
  <si>
    <t>fj4crone6pm</t>
  </si>
  <si>
    <t>fj4celitapm</t>
  </si>
  <si>
    <t>CHSElite 14</t>
  </si>
  <si>
    <t>fj4crosf3pm</t>
  </si>
  <si>
    <t>Crossfire 14 Anna</t>
  </si>
  <si>
    <t>fj4crosf4pm</t>
  </si>
  <si>
    <t>Crossfire 14 Kenzie</t>
  </si>
  <si>
    <t>fj4excel2pm</t>
  </si>
  <si>
    <t>Excell 14 Select</t>
  </si>
  <si>
    <t>Foothills 14 Mike</t>
  </si>
  <si>
    <t>fj4hvelo1pm</t>
  </si>
  <si>
    <t>High Velocity 14's</t>
  </si>
  <si>
    <t>Intense 14 Region Alan</t>
  </si>
  <si>
    <t>Intense 14 Region Ashley</t>
  </si>
  <si>
    <t>fj4inten7pm</t>
  </si>
  <si>
    <t>Intense 14 Region Henry</t>
  </si>
  <si>
    <t>Lake Murray 14 Reg Black</t>
  </si>
  <si>
    <t>LC 14 Christy</t>
  </si>
  <si>
    <t>MEVC14Caylie</t>
  </si>
  <si>
    <t>fj4mtnel2pm</t>
  </si>
  <si>
    <t>MEVC14Jenkins</t>
  </si>
  <si>
    <t>fj4upwrdapm</t>
  </si>
  <si>
    <t>Upward Stars 14 Tasha</t>
  </si>
  <si>
    <t>fj4aevbc9cr</t>
  </si>
  <si>
    <t>Alamance Eagles Volleyball Club</t>
  </si>
  <si>
    <t>ALAMANCE EAGLES 14U</t>
  </si>
  <si>
    <t>fj4biltm3cr</t>
  </si>
  <si>
    <t>BVA 14 White</t>
  </si>
  <si>
    <t>fj4ednvr1cr</t>
  </si>
  <si>
    <t>East Denver Volleyball Club</t>
  </si>
  <si>
    <t>East Denver 14U</t>
  </si>
  <si>
    <t>fj4galxy1cr</t>
  </si>
  <si>
    <t>Gaston Galaxy U14 Purple</t>
  </si>
  <si>
    <t>fj4galxy2cr</t>
  </si>
  <si>
    <t>Gaston Galaxy U14 Silver</t>
  </si>
  <si>
    <t>fj4mtxej1cr</t>
  </si>
  <si>
    <t>MTXE Juniors</t>
  </si>
  <si>
    <t>Shockers 14-1</t>
  </si>
  <si>
    <t>fj4thcts1cr</t>
  </si>
  <si>
    <t>TCVBYKD 14-1</t>
  </si>
  <si>
    <t>fj4tlife1cr</t>
  </si>
  <si>
    <t>Team Life Volleyball Club</t>
  </si>
  <si>
    <t>TLVC BLACK</t>
  </si>
  <si>
    <t>fj4tlife2cr</t>
  </si>
  <si>
    <t>TLVC YELLOW</t>
  </si>
  <si>
    <t>fj4trste1cr</t>
  </si>
  <si>
    <t>Tri-State Extreme Volleyball Club</t>
  </si>
  <si>
    <t>TSEVBC 14-1</t>
  </si>
  <si>
    <t>fj4unite5so</t>
  </si>
  <si>
    <t>Club Unite Abbie</t>
  </si>
  <si>
    <t>fj4unite4so</t>
  </si>
  <si>
    <t>Club Unite Torey</t>
  </si>
  <si>
    <t>fj4svavc1so</t>
  </si>
  <si>
    <t>Southern Volleyball Academy</t>
  </si>
  <si>
    <t>SVA 14-1 Grey</t>
  </si>
  <si>
    <t>fj5crosf2pm</t>
  </si>
  <si>
    <t>Crossfire 15 Chris</t>
  </si>
  <si>
    <t>fj5crosf5pm</t>
  </si>
  <si>
    <t>Crossfire 15 Carla</t>
  </si>
  <si>
    <t>IVC 15 Adidas Elite G</t>
  </si>
  <si>
    <t>IVC 15 Adidas Elite Cat</t>
  </si>
  <si>
    <t>IVC 15 Elite Adidas Sid</t>
  </si>
  <si>
    <t>fj5inten4pm</t>
  </si>
  <si>
    <t>IVC 15 Elite Adidas Tay</t>
  </si>
  <si>
    <t>fj5inten5pm</t>
  </si>
  <si>
    <t>Intense 15 Perf Danielle</t>
  </si>
  <si>
    <t>fj5islun1pm</t>
  </si>
  <si>
    <t>Island United</t>
  </si>
  <si>
    <t>Island United 15-1</t>
  </si>
  <si>
    <t>Lake Murray 15 Nat Red</t>
  </si>
  <si>
    <t>fj5lowco1pm</t>
  </si>
  <si>
    <t>LC 15N</t>
  </si>
  <si>
    <t>fj5mvpjc1pm</t>
  </si>
  <si>
    <t>MVP 15-Gold</t>
  </si>
  <si>
    <t>PSVC 15 Amanda</t>
  </si>
  <si>
    <t>PSVC 15 Cortland</t>
  </si>
  <si>
    <t>fj5srsvc1pm</t>
  </si>
  <si>
    <t>SRS 15 Blue</t>
  </si>
  <si>
    <t>fj5slegy1pm</t>
  </si>
  <si>
    <t>Southern Legacy 15-1</t>
  </si>
  <si>
    <t>fj5upwrd1pm</t>
  </si>
  <si>
    <t>Upward Stars 15 Val</t>
  </si>
  <si>
    <t>Vision 15 Adidas</t>
  </si>
  <si>
    <t>fj5twinc3cr</t>
  </si>
  <si>
    <t>TCVA 15 Black</t>
  </si>
  <si>
    <t>fj5hovjr2od</t>
  </si>
  <si>
    <t>Heart of Virginia - HOV</t>
  </si>
  <si>
    <t>HOV U15 Regional</t>
  </si>
  <si>
    <t>fj5cross1so</t>
  </si>
  <si>
    <t>Crossfire Volleyball Club</t>
  </si>
  <si>
    <t>Crossfire 15 Smack</t>
  </si>
  <si>
    <t>fj5triex1so</t>
  </si>
  <si>
    <t>Tri-Cities Extreme</t>
  </si>
  <si>
    <t>TEV 15 Devyn</t>
  </si>
  <si>
    <t>fj5triex2so</t>
  </si>
  <si>
    <t>TEV 15 Peyton</t>
  </si>
  <si>
    <t>SC Midlands 15 Perfor B</t>
  </si>
  <si>
    <t>SC Midlands 15 Perfor G</t>
  </si>
  <si>
    <t>Upward Stars 15 Jimmy</t>
  </si>
  <si>
    <t>15U Elite Randy</t>
  </si>
  <si>
    <t>MEVC15Cori</t>
  </si>
  <si>
    <t>fj5prage1pm</t>
  </si>
  <si>
    <t>PRV 15 Trisha</t>
  </si>
  <si>
    <t>fj5upwrd6pm</t>
  </si>
  <si>
    <t>Upward Stars 15 Alex</t>
  </si>
  <si>
    <t>fj5upwrd7pm</t>
  </si>
  <si>
    <t>Upward Stars 15 Olivia</t>
  </si>
  <si>
    <t>fj5biltm1cr</t>
  </si>
  <si>
    <t>Biltmore 15 Elite</t>
  </si>
  <si>
    <t>fj5spart1fl</t>
  </si>
  <si>
    <t>Lake Nona Volleyball Academy</t>
  </si>
  <si>
    <t>LNVA MIZUNO BLUE</t>
  </si>
  <si>
    <t>ATown 15 Orange</t>
  </si>
  <si>
    <t>fj5excel2pm</t>
  </si>
  <si>
    <t>Excell 15 Select</t>
  </si>
  <si>
    <t>fj5mbeac2pm</t>
  </si>
  <si>
    <t>15U Elite Teresa</t>
  </si>
  <si>
    <t>fj5axise3pm</t>
  </si>
  <si>
    <t>Axis 15 NT White Adidas</t>
  </si>
  <si>
    <t>C1VB 15 Regional Pickens</t>
  </si>
  <si>
    <t>fj5celitapm</t>
  </si>
  <si>
    <t>CHSElite 15</t>
  </si>
  <si>
    <t>fj5starl1pm</t>
  </si>
  <si>
    <t>Columbia SC Starlings 15</t>
  </si>
  <si>
    <t>fj5csrah3pm</t>
  </si>
  <si>
    <t>CSRA Heat 15 Black</t>
  </si>
  <si>
    <t>fj5inten6pm</t>
  </si>
  <si>
    <t>Intense 15 Region Darden</t>
  </si>
  <si>
    <t>fj5kvcjr1pm</t>
  </si>
  <si>
    <t>KVC 15</t>
  </si>
  <si>
    <t>fj5lakew1pm</t>
  </si>
  <si>
    <t>Lake Wylie Volleyball Club</t>
  </si>
  <si>
    <t>Lake Wylie Hurricane 15-1</t>
  </si>
  <si>
    <t>fj5ladyc1pm</t>
  </si>
  <si>
    <t>OLC 15s Purple</t>
  </si>
  <si>
    <t>fj5ladyc2pm</t>
  </si>
  <si>
    <t>OLC purple Elite 15s</t>
  </si>
  <si>
    <t>fj5cstar1pm</t>
  </si>
  <si>
    <t>Palmetto Starlings</t>
  </si>
  <si>
    <t>Palmetto Starlings 15-1</t>
  </si>
  <si>
    <t>fj5scwea1pm</t>
  </si>
  <si>
    <t>SCWE15WINGS</t>
  </si>
  <si>
    <t>fj5biltm2cr</t>
  </si>
  <si>
    <t>BVA 15 Black</t>
  </si>
  <si>
    <t>fj5robco1cr</t>
  </si>
  <si>
    <t>RobCo Volleyball Club</t>
  </si>
  <si>
    <t>ROBCO VC 15</t>
  </si>
  <si>
    <t>fj5thcts1cr</t>
  </si>
  <si>
    <t>TCVBYKD 15-1</t>
  </si>
  <si>
    <t>fj6caris2pm</t>
  </si>
  <si>
    <t>Car. Islanders 16 Power</t>
  </si>
  <si>
    <t>Crossfire 16 Tiffany</t>
  </si>
  <si>
    <t>Excell 16 Premire</t>
  </si>
  <si>
    <t>GSJ 16 National</t>
  </si>
  <si>
    <t>High Velocity 16's Nat</t>
  </si>
  <si>
    <t>Ivc 16 Adidas Elite Cecel</t>
  </si>
  <si>
    <t>Lake Murray 16 Nat Red</t>
  </si>
  <si>
    <t>LC 16P</t>
  </si>
  <si>
    <t>fj6motoj5pm</t>
  </si>
  <si>
    <t>IGNITE 16s</t>
  </si>
  <si>
    <t>fj6prage1pm</t>
  </si>
  <si>
    <t>PRV 16 Alicia</t>
  </si>
  <si>
    <t>PSVC 16 Dan</t>
  </si>
  <si>
    <t>fj6srsvc1pm</t>
  </si>
  <si>
    <t>SRS 16 Blue</t>
  </si>
  <si>
    <t>SC Midlands 16 Perfor B</t>
  </si>
  <si>
    <t>SC Midlands 16 Perfor G</t>
  </si>
  <si>
    <t>fj6slegy1pm</t>
  </si>
  <si>
    <t>Southern Legacy 16-1</t>
  </si>
  <si>
    <t>fj6upsvc1pm</t>
  </si>
  <si>
    <t>Upstate 16 Amber</t>
  </si>
  <si>
    <t>fj6upsvc2pm</t>
  </si>
  <si>
    <t>Upstate 16 Greg</t>
  </si>
  <si>
    <t>Vision 16</t>
  </si>
  <si>
    <t>fj6biltm1cr</t>
  </si>
  <si>
    <t>BVA 16 Elite</t>
  </si>
  <si>
    <t>Carolina Chaos Volleyball</t>
  </si>
  <si>
    <t>fj6cro165cr</t>
  </si>
  <si>
    <t>CrossPoint</t>
  </si>
  <si>
    <t>Chaos 16-5</t>
  </si>
  <si>
    <t>fj6cslct2cr</t>
  </si>
  <si>
    <t>Carolina Select Volleyball Club</t>
  </si>
  <si>
    <t>CSVC 16 Attack</t>
  </si>
  <si>
    <t>fj6cslct1cr</t>
  </si>
  <si>
    <t>CSVC 16 Legend</t>
  </si>
  <si>
    <t>fj6dovej1cr</t>
  </si>
  <si>
    <t>D.O.V.E. 16s</t>
  </si>
  <si>
    <t>fj6twinc2cr</t>
  </si>
  <si>
    <t>TCVA 16 Black</t>
  </si>
  <si>
    <t>fj6twinc3cr</t>
  </si>
  <si>
    <t>TCVA 16 Green</t>
  </si>
  <si>
    <t>fj6vbrag2ge</t>
  </si>
  <si>
    <t>VB Rags Volleyball Academy</t>
  </si>
  <si>
    <t>Team VB Rags 16N-Fernando</t>
  </si>
  <si>
    <t>fj6intvc1so</t>
  </si>
  <si>
    <t>Intensity Volleyball Club</t>
  </si>
  <si>
    <t>IVC - 16 Bryan</t>
  </si>
  <si>
    <t>fj6triex1so</t>
  </si>
  <si>
    <t>TEV 16 Gary</t>
  </si>
  <si>
    <t>Ivc 16 Adidas Elite Hunte</t>
  </si>
  <si>
    <t>PSVC 16 Sabina</t>
  </si>
  <si>
    <t>fj6vbrag1ge</t>
  </si>
  <si>
    <t>Team VB Rags 16N-Jason</t>
  </si>
  <si>
    <t>Intense 16 Perf Brook</t>
  </si>
  <si>
    <t>fj6union1pm</t>
  </si>
  <si>
    <t>UCVC-SC 16-1</t>
  </si>
  <si>
    <t>fj6ecity1pm</t>
  </si>
  <si>
    <t>Emerald City 16-1</t>
  </si>
  <si>
    <t>Magnum 16 Black</t>
  </si>
  <si>
    <t>fj6mtnel1pm</t>
  </si>
  <si>
    <t>MEVC16Kenny</t>
  </si>
  <si>
    <t>Upward Stars 16 Erin</t>
  </si>
  <si>
    <t>fj6triex3so</t>
  </si>
  <si>
    <t>TEV 16 Abigail</t>
  </si>
  <si>
    <t>ATown 16 Orange</t>
  </si>
  <si>
    <t>Upward Stars 16 Lindsay</t>
  </si>
  <si>
    <t>fj6upwrd6pm</t>
  </si>
  <si>
    <t>Upward Stars 16 Annie</t>
  </si>
  <si>
    <t>16U Elite Brittany</t>
  </si>
  <si>
    <t>fj6srsvc2pm</t>
  </si>
  <si>
    <t>SRS 16 Red</t>
  </si>
  <si>
    <t>fj6upsvc3pm</t>
  </si>
  <si>
    <t>Upstate 16 Coco</t>
  </si>
  <si>
    <t>Beaufort 16's</t>
  </si>
  <si>
    <t>Augusta Elite 16 HAVOC</t>
  </si>
  <si>
    <t>fj6bbear1pm</t>
  </si>
  <si>
    <t>Black Bears 16</t>
  </si>
  <si>
    <t>fj6branc1pm</t>
  </si>
  <si>
    <t>Branchville 16 Juniors</t>
  </si>
  <si>
    <t>fj6celitapm</t>
  </si>
  <si>
    <t>CHSElite 16</t>
  </si>
  <si>
    <t>fj6crosf2pm</t>
  </si>
  <si>
    <t>Crossfire 16 Sam</t>
  </si>
  <si>
    <t>fj6csrah3pm</t>
  </si>
  <si>
    <t>CSRA Heat 16 Black</t>
  </si>
  <si>
    <t>fj6ecity2pm</t>
  </si>
  <si>
    <t>Emerald City 16-2</t>
  </si>
  <si>
    <t>Lake Murray 16 Reg Black</t>
  </si>
  <si>
    <t>fj6sumtr1pm</t>
  </si>
  <si>
    <t>Sumter VBC 16 OJ</t>
  </si>
  <si>
    <t>fj6sumtr2pm</t>
  </si>
  <si>
    <t>Sumter VBC 16 Megan</t>
  </si>
  <si>
    <t>fj6union2pm</t>
  </si>
  <si>
    <t>UCVC-SC 16-2</t>
  </si>
  <si>
    <t>fj6ednvr1cr</t>
  </si>
  <si>
    <t>East Denver 16U</t>
  </si>
  <si>
    <t>fj6shlby6cr</t>
  </si>
  <si>
    <t>shelby - Carolina Chaos16</t>
  </si>
  <si>
    <t>fj6smvbc1cr</t>
  </si>
  <si>
    <t>Smoky Mountain Volleyball Club</t>
  </si>
  <si>
    <t>SMVC Royals 16-1</t>
  </si>
  <si>
    <t>fj6thcts1cr</t>
  </si>
  <si>
    <t>TCVBYKD 16-1</t>
  </si>
  <si>
    <t>fj6extvc1so</t>
  </si>
  <si>
    <t>Extreme 16-1</t>
  </si>
  <si>
    <t>fj6triex4so</t>
  </si>
  <si>
    <t>TEV 16 Samantha</t>
  </si>
  <si>
    <t>fj7crone1pm</t>
  </si>
  <si>
    <t>C1VB 17 Power</t>
  </si>
  <si>
    <t>fj7hvelo1pm</t>
  </si>
  <si>
    <t>High Velocity 17's Nat</t>
  </si>
  <si>
    <t>fj7inten2pm</t>
  </si>
  <si>
    <t>IVC 17 P/E Adidas Eunice</t>
  </si>
  <si>
    <t>fj7islun1pm</t>
  </si>
  <si>
    <t>Island United 17-1</t>
  </si>
  <si>
    <t>PSVC 17 Cindy</t>
  </si>
  <si>
    <t>SC Midlands 17 National</t>
  </si>
  <si>
    <t>SC Midlands 17 Perfor</t>
  </si>
  <si>
    <t>fj7vison1pm</t>
  </si>
  <si>
    <t>Vision 17</t>
  </si>
  <si>
    <t>fj7biltm1cr</t>
  </si>
  <si>
    <t>BVA 17 Elite</t>
  </si>
  <si>
    <t>fj7twinc2cr</t>
  </si>
  <si>
    <t>TCVA 17 Black</t>
  </si>
  <si>
    <t>fj7triex1so</t>
  </si>
  <si>
    <t>TEV 17 Dale</t>
  </si>
  <si>
    <t>TEV 17 Patrick</t>
  </si>
  <si>
    <t>IVC 17 Adidas Elite Jerry</t>
  </si>
  <si>
    <t>fj7svavc1so</t>
  </si>
  <si>
    <t>SVA 17-1 Turquoise</t>
  </si>
  <si>
    <t>Upward Stars 17 David</t>
  </si>
  <si>
    <t>fj7spart1fl</t>
  </si>
  <si>
    <t>LNVA MIZUNO NAVY</t>
  </si>
  <si>
    <t>fj7ignte1pm</t>
  </si>
  <si>
    <t>Ignite 17</t>
  </si>
  <si>
    <t>fj7mbeac1pm</t>
  </si>
  <si>
    <t>17U Elite Tom</t>
  </si>
  <si>
    <t>fj7branc1pm</t>
  </si>
  <si>
    <t>Branchville 17 Club</t>
  </si>
  <si>
    <t>fj7celitapm</t>
  </si>
  <si>
    <t>CHSElite 17</t>
  </si>
  <si>
    <t>fj7inten3pm</t>
  </si>
  <si>
    <t>Intense Region AJ</t>
  </si>
  <si>
    <t>fj7ladyc1pm</t>
  </si>
  <si>
    <t>OLC 17s Purple Elite Team</t>
  </si>
  <si>
    <t>fj7aevbc6cr</t>
  </si>
  <si>
    <t>ALAMANCE EAGLES 17U</t>
  </si>
  <si>
    <t>fj7biltm2cr</t>
  </si>
  <si>
    <t>BVA 17 Black</t>
  </si>
  <si>
    <t>fj7leecowcr</t>
  </si>
  <si>
    <t>Lee County Heat</t>
  </si>
  <si>
    <t>HEAT 17</t>
  </si>
  <si>
    <t>USA Purple Jo</t>
  </si>
  <si>
    <t>fj7svavc2so</t>
  </si>
  <si>
    <t>SVA 17-2 Blue</t>
  </si>
  <si>
    <t>fj8beauf1pm</t>
  </si>
  <si>
    <t>Beaufort Select 18U</t>
  </si>
  <si>
    <t>Car. Islanders 18 Power</t>
  </si>
  <si>
    <t>C1VB 18 Power</t>
  </si>
  <si>
    <t>Lake Murray 18 Nat Red</t>
  </si>
  <si>
    <t>fj8lakem2pm</t>
  </si>
  <si>
    <t>Lake Murray 18 Nat Black</t>
  </si>
  <si>
    <t>LC 18N</t>
  </si>
  <si>
    <t>fj8prage1pm</t>
  </si>
  <si>
    <t>PRV 18 Ashley</t>
  </si>
  <si>
    <t>fj8pstri1pm</t>
  </si>
  <si>
    <t>PSVC 18 Amir</t>
  </si>
  <si>
    <t>fj8pstri2pm</t>
  </si>
  <si>
    <t>PSVC 18 Mike</t>
  </si>
  <si>
    <t>fj8srsvc1pm</t>
  </si>
  <si>
    <t>SRS 18 Blue</t>
  </si>
  <si>
    <t>SC Midlands 18 National</t>
  </si>
  <si>
    <t>Sumter VBC 18 Heath</t>
  </si>
  <si>
    <t>Upstate 18 Greg</t>
  </si>
  <si>
    <t>fj8upwrd3pm</t>
  </si>
  <si>
    <t>Upward Stars 18 Ami</t>
  </si>
  <si>
    <t>Carolina Chaos 18-1</t>
  </si>
  <si>
    <t>fj8crchv2cr</t>
  </si>
  <si>
    <t>Carolina Chaos 18-2</t>
  </si>
  <si>
    <t>fj8carun4cr</t>
  </si>
  <si>
    <t>Carolina UVC</t>
  </si>
  <si>
    <t>CUVC 18 TL Brooke</t>
  </si>
  <si>
    <t>CUVC 18 TL Carrie</t>
  </si>
  <si>
    <t>fj8dovej1cr</t>
  </si>
  <si>
    <t>D.O.V.E. 18s</t>
  </si>
  <si>
    <t>fj8ednvr1cr</t>
  </si>
  <si>
    <t>East Denver 18U Elite</t>
  </si>
  <si>
    <t>fj8shlby8cr</t>
  </si>
  <si>
    <t>shelby - Carolina Chaos18</t>
  </si>
  <si>
    <t>fj8triex1so</t>
  </si>
  <si>
    <t>TEV 18 Marquis</t>
  </si>
  <si>
    <t>fj8atown1pm</t>
  </si>
  <si>
    <t>Atown 18 Black</t>
  </si>
  <si>
    <t>Augusta Elite 18 NOVA</t>
  </si>
  <si>
    <t>fj8aelit2pm</t>
  </si>
  <si>
    <t>Augusta Elite 18 IGNITE</t>
  </si>
  <si>
    <t>fj8cstar1pm</t>
  </si>
  <si>
    <t>Palmetto Starlings 18-1</t>
  </si>
  <si>
    <t>fj8sumtr2pm</t>
  </si>
  <si>
    <t>Sumter VBC 18 Brett</t>
  </si>
  <si>
    <t>fj8smvbc1cr</t>
  </si>
  <si>
    <t>SMVC Royals 18-1</t>
  </si>
  <si>
    <t>fj8extvc2so</t>
  </si>
  <si>
    <t>ExtremeVC 18-2</t>
  </si>
  <si>
    <t>fj8kvctn1so</t>
  </si>
  <si>
    <t>Kingsport Volleyball Club</t>
  </si>
  <si>
    <t>KVC 18-1</t>
  </si>
  <si>
    <t>mj3pstri1pm</t>
  </si>
  <si>
    <t>PSVC 13B Kelli</t>
  </si>
  <si>
    <t>fj3erapc4cr</t>
  </si>
  <si>
    <t>Attack Pack</t>
  </si>
  <si>
    <t>Attack Pack 13-4</t>
  </si>
  <si>
    <t>fj5union1pm</t>
  </si>
  <si>
    <t>UCVC</t>
  </si>
  <si>
    <t>UCVC-SC 15-1</t>
  </si>
  <si>
    <t>fj8netvc1so</t>
  </si>
  <si>
    <t>NetVC</t>
  </si>
  <si>
    <t>NETVC 18-1</t>
  </si>
  <si>
    <t>TLVC</t>
  </si>
  <si>
    <t>fj1scmid1pm</t>
  </si>
  <si>
    <t xml:space="preserve">SC Midlands </t>
  </si>
  <si>
    <t>fj1scmid2pm</t>
  </si>
  <si>
    <t>fj1scmid4pm</t>
  </si>
  <si>
    <t>SC Midlands KP Silver</t>
  </si>
  <si>
    <t>fj2starl1pm</t>
  </si>
  <si>
    <t xml:space="preserve">Columbia SC Starlings </t>
  </si>
  <si>
    <t>Columbia SC Starlings 12</t>
  </si>
  <si>
    <t xml:space="preserve">Foothills </t>
  </si>
  <si>
    <t>Foothills Skylar</t>
  </si>
  <si>
    <t>fj1motoj1pm</t>
  </si>
  <si>
    <t>MOTO 12'1</t>
  </si>
  <si>
    <t>fj2crone7pm</t>
  </si>
  <si>
    <t>C1VB</t>
  </si>
  <si>
    <t>fj2crone8pm</t>
  </si>
  <si>
    <t>C1VB Juniors Grey</t>
  </si>
  <si>
    <t>Foothills</t>
  </si>
  <si>
    <t>Foothills Vanessa</t>
  </si>
  <si>
    <t>Intense</t>
  </si>
  <si>
    <t>Intense kids power col</t>
  </si>
  <si>
    <t>AM r2</t>
  </si>
  <si>
    <t>AM r1</t>
  </si>
  <si>
    <t>PM r2</t>
  </si>
  <si>
    <t>PM 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</si>
</sst>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5" formatCode="0.##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8"/>
      <name val="Arial"/>
      <family val="2"/>
    </font>
    <font>
      <sz val="10"/>
      <color indexed="55"/>
      <name val="Arial"/>
      <family val="2"/>
    </font>
    <font>
      <sz val="5"/>
      <name val="Arial"/>
      <family val="2"/>
    </font>
    <font>
      <sz val="16"/>
      <name val="Arial"/>
      <family val="2"/>
    </font>
    <font>
      <sz val="6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8"/>
      <color theme="3"/>
      <name val="Cambria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5">
    <xf numFmtId="0" fontId="0" fillId="0" borderId="0"/>
    <xf numFmtId="0" fontId="2" fillId="0" borderId="0"/>
    <xf numFmtId="0" fontId="1" fillId="0" borderId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0" fillId="0" borderId="0"/>
    <xf numFmtId="0" fontId="1" fillId="0" borderId="0"/>
    <xf numFmtId="0" fontId="1" fillId="3" borderId="1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0"/>
  </cellStyleXfs>
  <cellXfs count="302">
    <xf numFmtId="0" fontId="0" fillId="0" borderId="0" xfId="0"/>
    <xf numFmtId="0" fontId="2" fillId="22" borderId="0" xfId="1" applyFill="1" applyProtection="1"/>
    <xf numFmtId="0" fontId="2" fillId="22" borderId="0" xfId="1" applyFont="1" applyFill="1" applyAlignment="1" applyProtection="1">
      <alignment horizontal="center"/>
    </xf>
    <xf numFmtId="0" fontId="2" fillId="0" borderId="0" xfId="1" applyFill="1"/>
    <xf numFmtId="0" fontId="2" fillId="0" borderId="0" xfId="1"/>
    <xf numFmtId="0" fontId="2" fillId="0" borderId="0" xfId="1" applyAlignment="1">
      <alignment horizontal="right"/>
    </xf>
    <xf numFmtId="0" fontId="2" fillId="24" borderId="0" xfId="1" applyFill="1"/>
    <xf numFmtId="0" fontId="2" fillId="0" borderId="6" xfId="1" applyFont="1" applyBorder="1" applyAlignment="1" applyProtection="1">
      <alignment horizontal="center"/>
      <protection locked="0"/>
    </xf>
    <xf numFmtId="0" fontId="3" fillId="0" borderId="7" xfId="1" applyFont="1" applyBorder="1" applyAlignment="1" applyProtection="1">
      <alignment horizontal="center"/>
      <protection locked="0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6" fillId="23" borderId="10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Border="1" applyAlignment="1" applyProtection="1">
      <alignment horizontal="center"/>
      <protection locked="0"/>
    </xf>
    <xf numFmtId="0" fontId="2" fillId="0" borderId="14" xfId="2" applyFont="1" applyBorder="1" applyAlignment="1" applyProtection="1">
      <alignment vertical="top"/>
      <protection locked="0"/>
    </xf>
    <xf numFmtId="0" fontId="2" fillId="0" borderId="15" xfId="1" applyBorder="1" applyAlignment="1" applyProtection="1">
      <alignment horizontal="center"/>
      <protection locked="0"/>
    </xf>
    <xf numFmtId="2" fontId="2" fillId="0" borderId="16" xfId="1" applyNumberFormat="1" applyBorder="1" applyAlignment="1">
      <alignment horizontal="center"/>
    </xf>
    <xf numFmtId="2" fontId="2" fillId="0" borderId="17" xfId="1" applyNumberFormat="1" applyBorder="1" applyAlignment="1">
      <alignment horizontal="center"/>
    </xf>
    <xf numFmtId="0" fontId="2" fillId="0" borderId="18" xfId="1" applyFont="1" applyBorder="1" applyAlignment="1" applyProtection="1">
      <alignment horizontal="center"/>
      <protection locked="0"/>
    </xf>
    <xf numFmtId="2" fontId="2" fillId="0" borderId="18" xfId="1" applyNumberFormat="1" applyBorder="1" applyAlignment="1">
      <alignment horizontal="center"/>
    </xf>
    <xf numFmtId="2" fontId="2" fillId="0" borderId="19" xfId="1" applyNumberFormat="1" applyBorder="1" applyAlignment="1">
      <alignment horizontal="center"/>
    </xf>
    <xf numFmtId="0" fontId="3" fillId="0" borderId="10" xfId="1" applyFont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  <protection locked="0"/>
    </xf>
    <xf numFmtId="0" fontId="3" fillId="23" borderId="10" xfId="1" applyFont="1" applyFill="1" applyBorder="1" applyAlignment="1">
      <alignment horizontal="center" vertical="center"/>
    </xf>
    <xf numFmtId="0" fontId="3" fillId="23" borderId="10" xfId="1" applyFont="1" applyFill="1" applyBorder="1" applyAlignment="1">
      <alignment horizontal="center" vertical="center" wrapText="1"/>
    </xf>
    <xf numFmtId="0" fontId="5" fillId="23" borderId="10" xfId="1" applyFont="1" applyFill="1" applyBorder="1" applyAlignment="1">
      <alignment horizontal="center" vertical="center"/>
    </xf>
    <xf numFmtId="0" fontId="2" fillId="22" borderId="0" xfId="1" applyFill="1" applyBorder="1" applyAlignment="1"/>
    <xf numFmtId="0" fontId="9" fillId="22" borderId="0" xfId="1" applyFont="1" applyFill="1" applyAlignment="1" applyProtection="1">
      <alignment horizontal="center"/>
      <protection locked="0"/>
    </xf>
    <xf numFmtId="0" fontId="9" fillId="22" borderId="0" xfId="1" applyFont="1" applyFill="1" applyBorder="1" applyAlignment="1"/>
    <xf numFmtId="0" fontId="9" fillId="0" borderId="0" xfId="1" applyFont="1" applyFill="1" applyBorder="1" applyAlignment="1"/>
    <xf numFmtId="0" fontId="2" fillId="22" borderId="0" xfId="1" applyFill="1" applyAlignment="1"/>
    <xf numFmtId="0" fontId="9" fillId="22" borderId="0" xfId="1" applyFont="1" applyFill="1"/>
    <xf numFmtId="0" fontId="5" fillId="22" borderId="0" xfId="1" applyFont="1" applyFill="1" applyBorder="1" applyAlignment="1" applyProtection="1">
      <alignment vertical="center" wrapText="1"/>
      <protection locked="0"/>
    </xf>
    <xf numFmtId="0" fontId="3" fillId="22" borderId="0" xfId="1" applyFont="1" applyFill="1" applyBorder="1" applyAlignment="1" applyProtection="1">
      <alignment vertical="center" wrapText="1"/>
      <protection locked="0"/>
    </xf>
    <xf numFmtId="0" fontId="2" fillId="22" borderId="0" xfId="1" applyFill="1" applyBorder="1" applyAlignment="1">
      <alignment horizontal="center" vertical="center"/>
    </xf>
    <xf numFmtId="0" fontId="10" fillId="0" borderId="0" xfId="1" applyFont="1" applyAlignment="1">
      <alignment horizontal="right"/>
    </xf>
    <xf numFmtId="0" fontId="2" fillId="23" borderId="51" xfId="1" applyFill="1" applyBorder="1" applyAlignment="1">
      <alignment horizontal="center" vertical="center"/>
    </xf>
    <xf numFmtId="0" fontId="2" fillId="26" borderId="52" xfId="1" applyFill="1" applyBorder="1" applyAlignment="1">
      <alignment horizontal="center"/>
    </xf>
    <xf numFmtId="0" fontId="2" fillId="23" borderId="52" xfId="1" applyFill="1" applyBorder="1" applyAlignment="1">
      <alignment horizontal="center" vertical="center"/>
    </xf>
    <xf numFmtId="0" fontId="5" fillId="23" borderId="52" xfId="1" applyFont="1" applyFill="1" applyBorder="1" applyProtection="1">
      <protection locked="0"/>
    </xf>
    <xf numFmtId="0" fontId="5" fillId="22" borderId="52" xfId="1" applyFont="1" applyFill="1" applyBorder="1" applyAlignment="1">
      <alignment horizontal="center"/>
    </xf>
    <xf numFmtId="0" fontId="5" fillId="23" borderId="52" xfId="1" applyFont="1" applyFill="1" applyBorder="1" applyAlignment="1" applyProtection="1">
      <alignment horizontal="left"/>
      <protection locked="0"/>
    </xf>
    <xf numFmtId="0" fontId="2" fillId="0" borderId="52" xfId="1" applyBorder="1" applyAlignment="1">
      <alignment horizontal="center" vertical="center"/>
    </xf>
    <xf numFmtId="0" fontId="7" fillId="0" borderId="49" xfId="1" applyFont="1" applyFill="1" applyBorder="1" applyProtection="1">
      <protection locked="0"/>
    </xf>
    <xf numFmtId="0" fontId="2" fillId="22" borderId="50" xfId="1" applyFill="1" applyBorder="1" applyAlignment="1">
      <alignment horizontal="center"/>
    </xf>
    <xf numFmtId="0" fontId="7" fillId="0" borderId="51" xfId="1" applyFont="1" applyFill="1" applyBorder="1" applyAlignment="1" applyProtection="1">
      <alignment horizontal="left"/>
      <protection locked="0"/>
    </xf>
    <xf numFmtId="0" fontId="2" fillId="0" borderId="51" xfId="1" applyBorder="1" applyAlignment="1">
      <alignment horizontal="center" vertical="center"/>
    </xf>
    <xf numFmtId="0" fontId="12" fillId="22" borderId="0" xfId="1" applyFont="1" applyFill="1"/>
    <xf numFmtId="0" fontId="2" fillId="0" borderId="0" xfId="1" applyFill="1" applyProtection="1">
      <protection hidden="1"/>
    </xf>
    <xf numFmtId="0" fontId="2" fillId="26" borderId="0" xfId="1" applyFill="1" applyProtection="1">
      <protection hidden="1"/>
    </xf>
    <xf numFmtId="0" fontId="2" fillId="26" borderId="0" xfId="1" applyFill="1" applyAlignment="1" applyProtection="1">
      <alignment horizontal="left"/>
      <protection hidden="1"/>
    </xf>
    <xf numFmtId="0" fontId="2" fillId="0" borderId="0" xfId="1" applyFill="1" applyAlignment="1" applyProtection="1">
      <alignment wrapText="1"/>
      <protection hidden="1"/>
    </xf>
    <xf numFmtId="0" fontId="2" fillId="0" borderId="0" xfId="1" applyFill="1" applyAlignment="1" applyProtection="1">
      <alignment horizontal="left"/>
      <protection hidden="1"/>
    </xf>
    <xf numFmtId="0" fontId="2" fillId="0" borderId="0" xfId="1" applyAlignment="1" applyProtection="1">
      <alignment horizontal="left"/>
    </xf>
    <xf numFmtId="0" fontId="2" fillId="0" borderId="0" xfId="1" applyAlignment="1" applyProtection="1">
      <alignment horizontal="center"/>
      <protection locked="0"/>
    </xf>
    <xf numFmtId="0" fontId="2" fillId="0" borderId="0" xfId="1" applyProtection="1">
      <protection hidden="1"/>
    </xf>
    <xf numFmtId="0" fontId="2" fillId="0" borderId="0" xfId="1" applyAlignment="1">
      <alignment horizontal="center"/>
    </xf>
    <xf numFmtId="0" fontId="3" fillId="0" borderId="0" xfId="1" applyFont="1"/>
    <xf numFmtId="0" fontId="3" fillId="0" borderId="0" xfId="1" applyFont="1" applyProtection="1">
      <protection hidden="1"/>
    </xf>
    <xf numFmtId="0" fontId="2" fillId="0" borderId="0" xfId="1" applyAlignment="1" applyProtection="1">
      <alignment horizontal="center"/>
      <protection hidden="1"/>
    </xf>
    <xf numFmtId="0" fontId="13" fillId="0" borderId="0" xfId="1" applyFont="1"/>
    <xf numFmtId="2" fontId="13" fillId="0" borderId="0" xfId="1" applyNumberFormat="1" applyFont="1"/>
    <xf numFmtId="2" fontId="2" fillId="0" borderId="0" xfId="1" applyNumberFormat="1"/>
    <xf numFmtId="2" fontId="2" fillId="0" borderId="0" xfId="1" applyNumberFormat="1" applyAlignment="1" applyProtection="1">
      <alignment horizontal="left"/>
    </xf>
    <xf numFmtId="2" fontId="2" fillId="0" borderId="0" xfId="1" applyNumberFormat="1" applyAlignment="1" applyProtection="1">
      <alignment horizontal="center"/>
      <protection locked="0"/>
    </xf>
    <xf numFmtId="2" fontId="2" fillId="0" borderId="0" xfId="1" applyNumberFormat="1" applyProtection="1">
      <protection hidden="1"/>
    </xf>
    <xf numFmtId="2" fontId="2" fillId="0" borderId="0" xfId="1" applyNumberFormat="1" applyAlignment="1" applyProtection="1">
      <alignment horizontal="center"/>
      <protection hidden="1"/>
    </xf>
    <xf numFmtId="1" fontId="13" fillId="0" borderId="0" xfId="1" applyNumberFormat="1" applyFont="1"/>
    <xf numFmtId="1" fontId="2" fillId="0" borderId="0" xfId="1" applyNumberFormat="1"/>
    <xf numFmtId="1" fontId="2" fillId="0" borderId="0" xfId="1" applyNumberFormat="1" applyAlignment="1" applyProtection="1">
      <alignment horizontal="left"/>
    </xf>
    <xf numFmtId="1" fontId="2" fillId="0" borderId="0" xfId="1" applyNumberFormat="1" applyAlignment="1" applyProtection="1">
      <alignment horizontal="center"/>
      <protection locked="0"/>
    </xf>
    <xf numFmtId="1" fontId="2" fillId="0" borderId="0" xfId="1" applyNumberFormat="1" applyProtection="1">
      <protection hidden="1"/>
    </xf>
    <xf numFmtId="1" fontId="2" fillId="0" borderId="0" xfId="1" applyNumberFormat="1" applyAlignment="1" applyProtection="1">
      <alignment horizontal="center"/>
      <protection hidden="1"/>
    </xf>
    <xf numFmtId="0" fontId="2" fillId="0" borderId="0" xfId="1" applyAlignment="1" applyProtection="1">
      <alignment horizontal="left"/>
    </xf>
    <xf numFmtId="0" fontId="2" fillId="0" borderId="0" xfId="1" applyAlignment="1" applyProtection="1">
      <alignment horizontal="center"/>
      <protection locked="0"/>
    </xf>
    <xf numFmtId="0" fontId="2" fillId="0" borderId="0" xfId="1" applyProtection="1">
      <protection locked="0"/>
    </xf>
    <xf numFmtId="0" fontId="2" fillId="31" borderId="18" xfId="1" applyFont="1" applyFill="1" applyBorder="1" applyAlignment="1" applyProtection="1">
      <alignment horizontal="center"/>
      <protection locked="0"/>
    </xf>
    <xf numFmtId="0" fontId="2" fillId="31" borderId="52" xfId="1" applyFill="1" applyBorder="1" applyAlignment="1" applyProtection="1">
      <alignment horizontal="center"/>
      <protection locked="0"/>
    </xf>
    <xf numFmtId="0" fontId="2" fillId="31" borderId="19" xfId="1" applyFill="1" applyBorder="1" applyAlignment="1" applyProtection="1">
      <alignment horizontal="center"/>
      <protection locked="0"/>
    </xf>
    <xf numFmtId="0" fontId="2" fillId="32" borderId="35" xfId="1" applyFont="1" applyFill="1" applyBorder="1" applyAlignment="1" applyProtection="1">
      <alignment horizontal="center"/>
      <protection locked="0"/>
    </xf>
    <xf numFmtId="0" fontId="2" fillId="32" borderId="36" xfId="1" applyFill="1" applyBorder="1" applyAlignment="1" applyProtection="1">
      <alignment horizontal="center"/>
      <protection locked="0"/>
    </xf>
    <xf numFmtId="0" fontId="2" fillId="32" borderId="53" xfId="1" applyFill="1" applyBorder="1" applyAlignment="1" applyProtection="1">
      <alignment horizontal="center"/>
      <protection locked="0"/>
    </xf>
    <xf numFmtId="0" fontId="2" fillId="0" borderId="0" xfId="1" applyFill="1" applyProtection="1">
      <protection locked="0"/>
    </xf>
    <xf numFmtId="0" fontId="2" fillId="0" borderId="41" xfId="1" applyBorder="1" applyProtection="1">
      <protection locked="0"/>
    </xf>
    <xf numFmtId="0" fontId="2" fillId="0" borderId="11" xfId="1" applyBorder="1" applyProtection="1">
      <protection locked="0"/>
    </xf>
    <xf numFmtId="0" fontId="1" fillId="37" borderId="0" xfId="41" applyFill="1" applyBorder="1"/>
    <xf numFmtId="165" fontId="1" fillId="37" borderId="0" xfId="41" applyNumberFormat="1" applyFill="1" applyBorder="1"/>
    <xf numFmtId="0" fontId="15" fillId="31" borderId="35" xfId="1" applyFont="1" applyFill="1" applyBorder="1" applyAlignment="1">
      <alignment horizontal="center" shrinkToFit="1"/>
    </xf>
    <xf numFmtId="0" fontId="15" fillId="31" borderId="36" xfId="1" applyFont="1" applyFill="1" applyBorder="1" applyAlignment="1">
      <alignment horizontal="center" shrinkToFit="1"/>
    </xf>
    <xf numFmtId="0" fontId="15" fillId="31" borderId="36" xfId="1" applyFont="1" applyFill="1" applyBorder="1" applyAlignment="1">
      <alignment horizontal="center"/>
    </xf>
    <xf numFmtId="0" fontId="15" fillId="31" borderId="53" xfId="1" applyFont="1" applyFill="1" applyBorder="1" applyAlignment="1">
      <alignment horizontal="center"/>
    </xf>
    <xf numFmtId="0" fontId="15" fillId="36" borderId="35" xfId="1" applyFont="1" applyFill="1" applyBorder="1" applyAlignment="1">
      <alignment horizontal="center" shrinkToFit="1"/>
    </xf>
    <xf numFmtId="0" fontId="15" fillId="36" borderId="36" xfId="1" applyFont="1" applyFill="1" applyBorder="1" applyAlignment="1">
      <alignment horizontal="center" shrinkToFit="1"/>
    </xf>
    <xf numFmtId="0" fontId="15" fillId="36" borderId="36" xfId="1" applyFont="1" applyFill="1" applyBorder="1" applyAlignment="1">
      <alignment horizontal="center"/>
    </xf>
    <xf numFmtId="0" fontId="15" fillId="36" borderId="53" xfId="1" applyFont="1" applyFill="1" applyBorder="1" applyAlignment="1">
      <alignment horizontal="center"/>
    </xf>
    <xf numFmtId="0" fontId="15" fillId="29" borderId="35" xfId="1" applyFont="1" applyFill="1" applyBorder="1" applyAlignment="1">
      <alignment horizontal="center" shrinkToFit="1"/>
    </xf>
    <xf numFmtId="0" fontId="15" fillId="29" borderId="36" xfId="1" applyFont="1" applyFill="1" applyBorder="1" applyAlignment="1">
      <alignment horizontal="center" shrinkToFit="1"/>
    </xf>
    <xf numFmtId="0" fontId="15" fillId="29" borderId="36" xfId="1" applyFont="1" applyFill="1" applyBorder="1" applyAlignment="1">
      <alignment horizontal="center"/>
    </xf>
    <xf numFmtId="0" fontId="15" fillId="29" borderId="53" xfId="1" applyFont="1" applyFill="1" applyBorder="1" applyAlignment="1">
      <alignment horizontal="center"/>
    </xf>
    <xf numFmtId="0" fontId="15" fillId="30" borderId="35" xfId="1" applyFont="1" applyFill="1" applyBorder="1" applyAlignment="1">
      <alignment horizontal="center" shrinkToFit="1"/>
    </xf>
    <xf numFmtId="0" fontId="15" fillId="30" borderId="36" xfId="1" applyFont="1" applyFill="1" applyBorder="1" applyAlignment="1">
      <alignment horizontal="center" shrinkToFit="1"/>
    </xf>
    <xf numFmtId="0" fontId="15" fillId="30" borderId="36" xfId="1" applyFont="1" applyFill="1" applyBorder="1" applyAlignment="1">
      <alignment horizontal="center"/>
    </xf>
    <xf numFmtId="0" fontId="15" fillId="30" borderId="53" xfId="1" applyFont="1" applyFill="1" applyBorder="1" applyAlignment="1">
      <alignment horizontal="center"/>
    </xf>
    <xf numFmtId="0" fontId="15" fillId="31" borderId="16" xfId="1" applyFont="1" applyFill="1" applyBorder="1" applyAlignment="1">
      <alignment horizontal="center" shrinkToFit="1"/>
    </xf>
    <xf numFmtId="0" fontId="15" fillId="31" borderId="37" xfId="1" applyFont="1" applyFill="1" applyBorder="1" applyAlignment="1">
      <alignment horizontal="center" shrinkToFit="1"/>
    </xf>
    <xf numFmtId="0" fontId="15" fillId="31" borderId="37" xfId="1" applyFont="1" applyFill="1" applyBorder="1" applyAlignment="1">
      <alignment horizontal="center"/>
    </xf>
    <xf numFmtId="0" fontId="15" fillId="31" borderId="17" xfId="1" applyFont="1" applyFill="1" applyBorder="1" applyAlignment="1">
      <alignment horizontal="center"/>
    </xf>
    <xf numFmtId="0" fontId="15" fillId="36" borderId="18" xfId="1" applyFont="1" applyFill="1" applyBorder="1" applyAlignment="1">
      <alignment horizontal="center" shrinkToFit="1"/>
    </xf>
    <xf numFmtId="0" fontId="15" fillId="36" borderId="52" xfId="1" applyFont="1" applyFill="1" applyBorder="1" applyAlignment="1">
      <alignment horizontal="center" shrinkToFit="1"/>
    </xf>
    <xf numFmtId="0" fontId="15" fillId="36" borderId="52" xfId="1" applyFont="1" applyFill="1" applyBorder="1" applyAlignment="1">
      <alignment horizontal="center"/>
    </xf>
    <xf numFmtId="0" fontId="15" fillId="36" borderId="19" xfId="1" applyFont="1" applyFill="1" applyBorder="1" applyAlignment="1">
      <alignment horizontal="center"/>
    </xf>
    <xf numFmtId="0" fontId="15" fillId="29" borderId="18" xfId="1" applyFont="1" applyFill="1" applyBorder="1" applyAlignment="1">
      <alignment horizontal="center" shrinkToFit="1"/>
    </xf>
    <xf numFmtId="0" fontId="15" fillId="29" borderId="52" xfId="1" applyFont="1" applyFill="1" applyBorder="1" applyAlignment="1">
      <alignment horizontal="center" shrinkToFit="1"/>
    </xf>
    <xf numFmtId="0" fontId="15" fillId="29" borderId="52" xfId="1" applyFont="1" applyFill="1" applyBorder="1" applyAlignment="1">
      <alignment horizontal="center"/>
    </xf>
    <xf numFmtId="0" fontId="15" fillId="29" borderId="19" xfId="1" applyFont="1" applyFill="1" applyBorder="1" applyAlignment="1">
      <alignment horizontal="center"/>
    </xf>
    <xf numFmtId="0" fontId="15" fillId="30" borderId="18" xfId="1" applyFont="1" applyFill="1" applyBorder="1" applyAlignment="1">
      <alignment horizontal="center" shrinkToFit="1"/>
    </xf>
    <xf numFmtId="0" fontId="15" fillId="30" borderId="52" xfId="1" applyFont="1" applyFill="1" applyBorder="1" applyAlignment="1">
      <alignment horizontal="center" shrinkToFit="1"/>
    </xf>
    <xf numFmtId="0" fontId="15" fillId="30" borderId="52" xfId="1" applyFont="1" applyFill="1" applyBorder="1" applyAlignment="1">
      <alignment horizontal="center"/>
    </xf>
    <xf numFmtId="0" fontId="15" fillId="30" borderId="19" xfId="1" applyFont="1" applyFill="1" applyBorder="1" applyAlignment="1">
      <alignment horizontal="center"/>
    </xf>
    <xf numFmtId="0" fontId="15" fillId="31" borderId="18" xfId="1" applyFont="1" applyFill="1" applyBorder="1" applyAlignment="1">
      <alignment horizontal="center" shrinkToFit="1"/>
    </xf>
    <xf numFmtId="0" fontId="15" fillId="31" borderId="52" xfId="1" applyFont="1" applyFill="1" applyBorder="1" applyAlignment="1">
      <alignment horizontal="center" shrinkToFit="1"/>
    </xf>
    <xf numFmtId="0" fontId="15" fillId="31" borderId="52" xfId="1" applyFont="1" applyFill="1" applyBorder="1" applyAlignment="1">
      <alignment horizontal="center"/>
    </xf>
    <xf numFmtId="0" fontId="15" fillId="31" borderId="19" xfId="1" applyFont="1" applyFill="1" applyBorder="1" applyAlignment="1">
      <alignment horizontal="center"/>
    </xf>
    <xf numFmtId="0" fontId="2" fillId="23" borderId="3" xfId="1" applyFill="1" applyBorder="1" applyAlignment="1">
      <alignment horizontal="center"/>
    </xf>
    <xf numFmtId="0" fontId="2" fillId="23" borderId="4" xfId="1" applyFill="1" applyBorder="1" applyAlignment="1">
      <alignment horizontal="center"/>
    </xf>
    <xf numFmtId="0" fontId="2" fillId="23" borderId="5" xfId="1" applyFill="1" applyBorder="1" applyAlignment="1">
      <alignment horizontal="center"/>
    </xf>
    <xf numFmtId="0" fontId="2" fillId="31" borderId="3" xfId="1" applyFill="1" applyBorder="1" applyAlignment="1">
      <alignment horizontal="center"/>
    </xf>
    <xf numFmtId="0" fontId="2" fillId="31" borderId="4" xfId="1" applyFill="1" applyBorder="1" applyAlignment="1">
      <alignment horizontal="center"/>
    </xf>
    <xf numFmtId="0" fontId="2" fillId="31" borderId="5" xfId="1" applyFill="1" applyBorder="1" applyAlignment="1">
      <alignment horizontal="center"/>
    </xf>
    <xf numFmtId="0" fontId="15" fillId="36" borderId="16" xfId="1" applyFont="1" applyFill="1" applyBorder="1" applyAlignment="1">
      <alignment horizontal="center" shrinkToFit="1"/>
    </xf>
    <xf numFmtId="0" fontId="15" fillId="36" borderId="37" xfId="1" applyFont="1" applyFill="1" applyBorder="1" applyAlignment="1">
      <alignment horizontal="center" shrinkToFit="1"/>
    </xf>
    <xf numFmtId="0" fontId="15" fillId="36" borderId="37" xfId="1" applyFont="1" applyFill="1" applyBorder="1" applyAlignment="1">
      <alignment horizontal="center"/>
    </xf>
    <xf numFmtId="0" fontId="15" fillId="36" borderId="17" xfId="1" applyFont="1" applyFill="1" applyBorder="1" applyAlignment="1">
      <alignment horizontal="center"/>
    </xf>
    <xf numFmtId="0" fontId="15" fillId="29" borderId="16" xfId="1" applyFont="1" applyFill="1" applyBorder="1" applyAlignment="1">
      <alignment horizontal="center" shrinkToFit="1"/>
    </xf>
    <xf numFmtId="0" fontId="15" fillId="29" borderId="37" xfId="1" applyFont="1" applyFill="1" applyBorder="1" applyAlignment="1">
      <alignment horizontal="center" shrinkToFit="1"/>
    </xf>
    <xf numFmtId="0" fontId="15" fillId="29" borderId="37" xfId="1" applyFont="1" applyFill="1" applyBorder="1" applyAlignment="1">
      <alignment horizontal="center"/>
    </xf>
    <xf numFmtId="0" fontId="15" fillId="29" borderId="17" xfId="1" applyFont="1" applyFill="1" applyBorder="1" applyAlignment="1">
      <alignment horizontal="center"/>
    </xf>
    <xf numFmtId="0" fontId="15" fillId="30" borderId="16" xfId="1" applyFont="1" applyFill="1" applyBorder="1" applyAlignment="1">
      <alignment horizontal="center" shrinkToFit="1"/>
    </xf>
    <xf numFmtId="0" fontId="15" fillId="30" borderId="37" xfId="1" applyFont="1" applyFill="1" applyBorder="1" applyAlignment="1">
      <alignment horizontal="center" shrinkToFit="1"/>
    </xf>
    <xf numFmtId="0" fontId="15" fillId="30" borderId="37" xfId="1" applyFont="1" applyFill="1" applyBorder="1" applyAlignment="1">
      <alignment horizontal="center"/>
    </xf>
    <xf numFmtId="0" fontId="15" fillId="30" borderId="17" xfId="1" applyFont="1" applyFill="1" applyBorder="1" applyAlignment="1">
      <alignment horizontal="center"/>
    </xf>
    <xf numFmtId="0" fontId="14" fillId="0" borderId="0" xfId="1" applyFont="1" applyAlignment="1">
      <alignment horizontal="center"/>
    </xf>
    <xf numFmtId="0" fontId="10" fillId="34" borderId="21" xfId="1" applyFont="1" applyFill="1" applyBorder="1" applyAlignment="1">
      <alignment horizontal="center" wrapText="1"/>
    </xf>
    <xf numFmtId="0" fontId="10" fillId="34" borderId="30" xfId="1" applyFont="1" applyFill="1" applyBorder="1" applyAlignment="1">
      <alignment horizontal="center" wrapText="1"/>
    </xf>
    <xf numFmtId="0" fontId="2" fillId="35" borderId="3" xfId="1" applyFill="1" applyBorder="1" applyAlignment="1">
      <alignment horizontal="center"/>
    </xf>
    <xf numFmtId="0" fontId="2" fillId="35" borderId="4" xfId="1" applyFill="1" applyBorder="1" applyAlignment="1">
      <alignment horizontal="center"/>
    </xf>
    <xf numFmtId="0" fontId="2" fillId="35" borderId="5" xfId="1" applyFill="1" applyBorder="1" applyAlignment="1">
      <alignment horizontal="center"/>
    </xf>
    <xf numFmtId="0" fontId="5" fillId="26" borderId="49" xfId="1" applyFont="1" applyFill="1" applyBorder="1" applyAlignment="1" applyProtection="1">
      <alignment horizontal="center"/>
      <protection locked="0"/>
    </xf>
    <xf numFmtId="0" fontId="5" fillId="26" borderId="50" xfId="1" applyFont="1" applyFill="1" applyBorder="1" applyAlignment="1" applyProtection="1">
      <alignment horizontal="center"/>
      <protection locked="0"/>
    </xf>
    <xf numFmtId="0" fontId="5" fillId="26" borderId="51" xfId="1" applyFont="1" applyFill="1" applyBorder="1" applyAlignment="1" applyProtection="1">
      <alignment horizontal="center"/>
      <protection locked="0"/>
    </xf>
    <xf numFmtId="0" fontId="2" fillId="0" borderId="0" xfId="1" applyFill="1" applyAlignment="1" applyProtection="1">
      <alignment horizontal="center" wrapText="1"/>
      <protection hidden="1"/>
    </xf>
    <xf numFmtId="0" fontId="2" fillId="0" borderId="0" xfId="1" applyAlignment="1" applyProtection="1">
      <alignment horizontal="left"/>
    </xf>
    <xf numFmtId="0" fontId="2" fillId="0" borderId="0" xfId="1" applyAlignment="1" applyProtection="1">
      <alignment horizontal="center"/>
      <protection locked="0"/>
    </xf>
    <xf numFmtId="0" fontId="2" fillId="0" borderId="0" xfId="1" applyAlignment="1" applyProtection="1">
      <alignment horizontal="left"/>
      <protection locked="0"/>
    </xf>
    <xf numFmtId="0" fontId="3" fillId="26" borderId="49" xfId="1" applyFont="1" applyFill="1" applyBorder="1" applyAlignment="1">
      <alignment horizontal="center"/>
    </xf>
    <xf numFmtId="0" fontId="3" fillId="26" borderId="50" xfId="1" applyFont="1" applyFill="1" applyBorder="1" applyAlignment="1">
      <alignment horizontal="center"/>
    </xf>
    <xf numFmtId="0" fontId="3" fillId="26" borderId="51" xfId="1" applyFont="1" applyFill="1" applyBorder="1" applyAlignment="1">
      <alignment horizontal="center"/>
    </xf>
    <xf numFmtId="20" fontId="2" fillId="0" borderId="49" xfId="1" applyNumberFormat="1" applyFill="1" applyBorder="1" applyAlignment="1" applyProtection="1">
      <alignment horizontal="center"/>
      <protection locked="0"/>
    </xf>
    <xf numFmtId="20" fontId="2" fillId="0" borderId="50" xfId="1" applyNumberFormat="1" applyFill="1" applyBorder="1" applyAlignment="1" applyProtection="1">
      <alignment horizontal="center"/>
      <protection locked="0"/>
    </xf>
    <xf numFmtId="20" fontId="2" fillId="0" borderId="51" xfId="1" applyNumberFormat="1" applyFill="1" applyBorder="1" applyAlignment="1" applyProtection="1">
      <alignment horizontal="center"/>
      <protection locked="0"/>
    </xf>
    <xf numFmtId="20" fontId="2" fillId="0" borderId="46" xfId="1" applyNumberFormat="1" applyFill="1" applyBorder="1" applyAlignment="1" applyProtection="1">
      <alignment horizontal="center"/>
      <protection locked="0"/>
    </xf>
    <xf numFmtId="0" fontId="2" fillId="0" borderId="47" xfId="1" applyFill="1" applyBorder="1" applyAlignment="1" applyProtection="1">
      <alignment horizontal="center"/>
      <protection locked="0"/>
    </xf>
    <xf numFmtId="0" fontId="2" fillId="0" borderId="48" xfId="1" applyFill="1" applyBorder="1" applyAlignment="1" applyProtection="1">
      <alignment horizontal="center"/>
      <protection locked="0"/>
    </xf>
    <xf numFmtId="0" fontId="3" fillId="28" borderId="41" xfId="1" applyFont="1" applyFill="1" applyBorder="1" applyAlignment="1">
      <alignment horizontal="center" vertical="center" wrapText="1"/>
    </xf>
    <xf numFmtId="0" fontId="3" fillId="28" borderId="0" xfId="1" applyFont="1" applyFill="1" applyBorder="1" applyAlignment="1">
      <alignment horizontal="center" vertical="center" wrapText="1"/>
    </xf>
    <xf numFmtId="0" fontId="3" fillId="28" borderId="28" xfId="1" applyFont="1" applyFill="1" applyBorder="1" applyAlignment="1">
      <alignment horizontal="center" vertical="center" wrapText="1"/>
    </xf>
    <xf numFmtId="0" fontId="3" fillId="28" borderId="29" xfId="1" applyFont="1" applyFill="1" applyBorder="1" applyAlignment="1">
      <alignment horizontal="center" vertical="center" wrapText="1"/>
    </xf>
    <xf numFmtId="0" fontId="3" fillId="28" borderId="42" xfId="1" applyFont="1" applyFill="1" applyBorder="1" applyAlignment="1">
      <alignment horizontal="center" vertical="center" wrapText="1"/>
    </xf>
    <xf numFmtId="0" fontId="3" fillId="28" borderId="11" xfId="1" applyFont="1" applyFill="1" applyBorder="1" applyAlignment="1">
      <alignment horizontal="center" vertical="center" wrapText="1"/>
    </xf>
    <xf numFmtId="0" fontId="3" fillId="28" borderId="2" xfId="1" applyFont="1" applyFill="1" applyBorder="1" applyAlignment="1">
      <alignment horizontal="center" vertical="center" wrapText="1"/>
    </xf>
    <xf numFmtId="0" fontId="3" fillId="28" borderId="12" xfId="1" applyFont="1" applyFill="1" applyBorder="1" applyAlignment="1">
      <alignment horizontal="center" vertical="center" wrapText="1"/>
    </xf>
    <xf numFmtId="0" fontId="6" fillId="27" borderId="43" xfId="1" applyFont="1" applyFill="1" applyBorder="1" applyAlignment="1" applyProtection="1">
      <alignment horizontal="left" vertical="center" wrapText="1"/>
      <protection locked="0"/>
    </xf>
    <xf numFmtId="0" fontId="6" fillId="27" borderId="44" xfId="1" applyFont="1" applyFill="1" applyBorder="1" applyAlignment="1" applyProtection="1">
      <alignment vertical="center" wrapText="1"/>
      <protection locked="0"/>
    </xf>
    <xf numFmtId="0" fontId="6" fillId="27" borderId="45" xfId="1" applyFont="1" applyFill="1" applyBorder="1" applyAlignment="1" applyProtection="1">
      <alignment vertical="center" wrapText="1"/>
      <protection locked="0"/>
    </xf>
    <xf numFmtId="10" fontId="2" fillId="0" borderId="27" xfId="1" applyNumberFormat="1" applyFont="1" applyBorder="1" applyAlignment="1">
      <alignment horizontal="center" vertical="center"/>
    </xf>
    <xf numFmtId="10" fontId="2" fillId="0" borderId="28" xfId="1" applyNumberFormat="1" applyFont="1" applyBorder="1" applyAlignment="1">
      <alignment horizontal="center" vertical="center"/>
    </xf>
    <xf numFmtId="10" fontId="2" fillId="0" borderId="41" xfId="1" applyNumberFormat="1" applyFont="1" applyBorder="1" applyAlignment="1">
      <alignment horizontal="center" vertical="center"/>
    </xf>
    <xf numFmtId="10" fontId="2" fillId="0" borderId="0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 applyProtection="1">
      <alignment horizontal="center" vertical="center"/>
    </xf>
    <xf numFmtId="164" fontId="2" fillId="0" borderId="28" xfId="1" applyNumberFormat="1" applyFont="1" applyBorder="1" applyAlignment="1" applyProtection="1">
      <alignment horizontal="center" vertical="center"/>
    </xf>
    <xf numFmtId="164" fontId="2" fillId="0" borderId="29" xfId="1" applyNumberFormat="1" applyFont="1" applyBorder="1" applyAlignment="1" applyProtection="1">
      <alignment horizontal="center" vertical="center"/>
    </xf>
    <xf numFmtId="164" fontId="2" fillId="0" borderId="41" xfId="1" applyNumberFormat="1" applyFont="1" applyBorder="1" applyAlignment="1" applyProtection="1">
      <alignment horizontal="center" vertical="center"/>
    </xf>
    <xf numFmtId="164" fontId="2" fillId="0" borderId="0" xfId="1" applyNumberFormat="1" applyFont="1" applyBorder="1" applyAlignment="1" applyProtection="1">
      <alignment horizontal="center" vertical="center"/>
    </xf>
    <xf numFmtId="164" fontId="2" fillId="0" borderId="42" xfId="1" applyNumberFormat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  <protection locked="0"/>
    </xf>
    <xf numFmtId="0" fontId="11" fillId="0" borderId="20" xfId="1" applyFont="1" applyBorder="1" applyAlignment="1" applyProtection="1">
      <alignment horizontal="center" vertical="center"/>
      <protection locked="0"/>
    </xf>
    <xf numFmtId="0" fontId="11" fillId="26" borderId="27" xfId="1" applyFont="1" applyFill="1" applyBorder="1" applyAlignment="1" applyProtection="1">
      <alignment horizontal="center" vertical="center"/>
      <protection locked="0"/>
    </xf>
    <xf numFmtId="0" fontId="11" fillId="26" borderId="29" xfId="1" applyFont="1" applyFill="1" applyBorder="1" applyAlignment="1" applyProtection="1">
      <alignment horizontal="center" vertical="center"/>
      <protection locked="0"/>
    </xf>
    <xf numFmtId="0" fontId="11" fillId="26" borderId="41" xfId="1" applyFont="1" applyFill="1" applyBorder="1" applyAlignment="1" applyProtection="1">
      <alignment horizontal="center" vertical="center"/>
      <protection locked="0"/>
    </xf>
    <xf numFmtId="0" fontId="11" fillId="26" borderId="42" xfId="1" applyFont="1" applyFill="1" applyBorder="1" applyAlignment="1" applyProtection="1">
      <alignment horizontal="center" vertical="center"/>
      <protection locked="0"/>
    </xf>
    <xf numFmtId="0" fontId="10" fillId="0" borderId="38" xfId="1" applyFont="1" applyBorder="1" applyAlignment="1" applyProtection="1">
      <alignment horizontal="center" vertical="center"/>
    </xf>
    <xf numFmtId="0" fontId="10" fillId="0" borderId="39" xfId="1" applyFont="1" applyBorder="1" applyAlignment="1" applyProtection="1">
      <alignment horizontal="center" vertical="center"/>
    </xf>
    <xf numFmtId="0" fontId="2" fillId="0" borderId="40" xfId="1" applyFont="1" applyBorder="1" applyAlignment="1" applyProtection="1">
      <alignment horizontal="center" vertical="center" shrinkToFit="1"/>
      <protection locked="0"/>
    </xf>
    <xf numFmtId="0" fontId="2" fillId="0" borderId="0" xfId="1" applyFont="1" applyBorder="1" applyAlignment="1" applyProtection="1">
      <alignment horizontal="center" vertical="center" shrinkToFit="1"/>
      <protection locked="0"/>
    </xf>
    <xf numFmtId="0" fontId="6" fillId="0" borderId="2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10" fillId="0" borderId="16" xfId="1" applyFont="1" applyBorder="1" applyAlignment="1" applyProtection="1">
      <alignment horizontal="center" vertical="center"/>
    </xf>
    <xf numFmtId="0" fontId="10" fillId="0" borderId="37" xfId="1" applyFont="1" applyBorder="1" applyAlignment="1" applyProtection="1">
      <alignment horizontal="center" vertical="center"/>
    </xf>
    <xf numFmtId="0" fontId="3" fillId="0" borderId="25" xfId="1" applyFont="1" applyBorder="1" applyAlignment="1" applyProtection="1">
      <alignment horizontal="center" vertical="center" shrinkToFit="1"/>
      <protection locked="0"/>
    </xf>
    <xf numFmtId="0" fontId="3" fillId="0" borderId="23" xfId="1" applyFont="1" applyBorder="1" applyAlignment="1" applyProtection="1">
      <alignment horizontal="center" vertical="center" shrinkToFit="1"/>
      <protection locked="0"/>
    </xf>
    <xf numFmtId="0" fontId="3" fillId="0" borderId="26" xfId="1" applyFont="1" applyBorder="1" applyAlignment="1" applyProtection="1">
      <alignment horizontal="center" vertical="center" shrinkToFit="1"/>
      <protection locked="0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10" fontId="2" fillId="0" borderId="11" xfId="1" applyNumberFormat="1" applyFont="1" applyBorder="1" applyAlignment="1">
      <alignment horizontal="center" vertical="center"/>
    </xf>
    <xf numFmtId="10" fontId="2" fillId="0" borderId="2" xfId="1" applyNumberFormat="1" applyFont="1" applyBorder="1" applyAlignment="1">
      <alignment horizontal="center" vertical="center"/>
    </xf>
    <xf numFmtId="164" fontId="2" fillId="0" borderId="11" xfId="1" applyNumberFormat="1" applyFont="1" applyBorder="1" applyAlignment="1" applyProtection="1">
      <alignment horizontal="center" vertical="center"/>
    </xf>
    <xf numFmtId="164" fontId="2" fillId="0" borderId="2" xfId="1" applyNumberFormat="1" applyFont="1" applyBorder="1" applyAlignment="1" applyProtection="1">
      <alignment horizontal="center" vertical="center"/>
    </xf>
    <xf numFmtId="164" fontId="2" fillId="0" borderId="12" xfId="1" applyNumberFormat="1" applyFont="1" applyBorder="1" applyAlignment="1" applyProtection="1">
      <alignment horizontal="center" vertical="center"/>
    </xf>
    <xf numFmtId="0" fontId="11" fillId="0" borderId="30" xfId="1" applyFont="1" applyBorder="1" applyAlignment="1" applyProtection="1">
      <alignment horizontal="center" vertical="center"/>
      <protection locked="0"/>
    </xf>
    <xf numFmtId="0" fontId="11" fillId="26" borderId="11" xfId="1" applyFont="1" applyFill="1" applyBorder="1" applyAlignment="1" applyProtection="1">
      <alignment horizontal="center" vertical="center"/>
      <protection locked="0"/>
    </xf>
    <xf numFmtId="0" fontId="11" fillId="26" borderId="12" xfId="1" applyFont="1" applyFill="1" applyBorder="1" applyAlignment="1" applyProtection="1">
      <alignment horizontal="center" vertical="center"/>
      <protection locked="0"/>
    </xf>
    <xf numFmtId="0" fontId="10" fillId="0" borderId="35" xfId="1" applyFont="1" applyBorder="1" applyAlignment="1" applyProtection="1">
      <alignment horizontal="center" vertical="center"/>
    </xf>
    <xf numFmtId="0" fontId="10" fillId="0" borderId="36" xfId="1" applyFont="1" applyBorder="1" applyAlignment="1" applyProtection="1">
      <alignment horizontal="center" vertical="center"/>
    </xf>
    <xf numFmtId="0" fontId="2" fillId="0" borderId="34" xfId="1" applyFont="1" applyBorder="1" applyAlignment="1" applyProtection="1">
      <alignment horizontal="center" vertical="center" shrinkToFit="1"/>
    </xf>
    <xf numFmtId="0" fontId="2" fillId="0" borderId="2" xfId="1" applyFont="1" applyBorder="1" applyAlignment="1" applyProtection="1">
      <alignment horizontal="center" vertical="center" shrinkToFit="1"/>
    </xf>
    <xf numFmtId="0" fontId="3" fillId="0" borderId="25" xfId="1" applyFont="1" applyBorder="1" applyAlignment="1" applyProtection="1">
      <alignment horizontal="center" vertical="center" shrinkToFit="1"/>
    </xf>
    <xf numFmtId="0" fontId="3" fillId="0" borderId="23" xfId="1" applyFont="1" applyBorder="1" applyAlignment="1" applyProtection="1">
      <alignment horizontal="center" vertical="center" shrinkToFit="1"/>
    </xf>
    <xf numFmtId="0" fontId="3" fillId="0" borderId="26" xfId="1" applyFont="1" applyBorder="1" applyAlignment="1" applyProtection="1">
      <alignment horizontal="center" vertical="center" shrinkToFit="1"/>
    </xf>
    <xf numFmtId="0" fontId="11" fillId="0" borderId="1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0" fillId="0" borderId="31" xfId="1" applyFont="1" applyBorder="1" applyAlignment="1" applyProtection="1">
      <alignment horizontal="center" vertical="center"/>
    </xf>
    <xf numFmtId="0" fontId="10" fillId="0" borderId="32" xfId="1" applyFont="1" applyBorder="1" applyAlignment="1" applyProtection="1">
      <alignment horizontal="center" vertical="center"/>
    </xf>
    <xf numFmtId="0" fontId="10" fillId="0" borderId="33" xfId="1" applyFont="1" applyBorder="1" applyAlignment="1" applyProtection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10" fillId="0" borderId="23" xfId="1" applyFont="1" applyBorder="1" applyAlignment="1" applyProtection="1">
      <alignment horizontal="center" vertical="center"/>
    </xf>
    <xf numFmtId="0" fontId="10" fillId="0" borderId="24" xfId="1" applyFont="1" applyBorder="1" applyAlignment="1" applyProtection="1">
      <alignment horizontal="center" vertical="center"/>
    </xf>
    <xf numFmtId="0" fontId="3" fillId="26" borderId="3" xfId="1" applyFont="1" applyFill="1" applyBorder="1" applyAlignment="1">
      <alignment horizontal="center" vertical="center" wrapText="1"/>
    </xf>
    <xf numFmtId="0" fontId="3" fillId="26" borderId="5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5" fillId="25" borderId="3" xfId="1" applyFont="1" applyFill="1" applyBorder="1" applyAlignment="1">
      <alignment horizontal="center" vertical="center" shrinkToFit="1"/>
    </xf>
    <xf numFmtId="0" fontId="5" fillId="25" borderId="4" xfId="1" applyFont="1" applyFill="1" applyBorder="1" applyAlignment="1">
      <alignment horizontal="center" vertical="center" shrinkToFit="1"/>
    </xf>
    <xf numFmtId="0" fontId="5" fillId="25" borderId="5" xfId="1" applyFont="1" applyFill="1" applyBorder="1" applyAlignment="1">
      <alignment horizontal="center" vertical="center" shrinkToFit="1"/>
    </xf>
    <xf numFmtId="0" fontId="3" fillId="23" borderId="3" xfId="1" applyFont="1" applyFill="1" applyBorder="1" applyAlignment="1">
      <alignment horizontal="center" vertical="center"/>
    </xf>
    <xf numFmtId="0" fontId="3" fillId="23" borderId="4" xfId="1" applyFont="1" applyFill="1" applyBorder="1" applyAlignment="1">
      <alignment horizontal="center" vertical="center"/>
    </xf>
    <xf numFmtId="0" fontId="3" fillId="22" borderId="20" xfId="1" applyFont="1" applyFill="1" applyBorder="1" applyAlignment="1">
      <alignment horizontal="center" vertical="center"/>
    </xf>
    <xf numFmtId="0" fontId="2" fillId="0" borderId="4" xfId="1" applyBorder="1"/>
    <xf numFmtId="0" fontId="2" fillId="0" borderId="5" xfId="1" applyBorder="1"/>
    <xf numFmtId="0" fontId="8" fillId="23" borderId="3" xfId="1" applyFont="1" applyFill="1" applyBorder="1" applyAlignment="1">
      <alignment horizontal="center" vertical="center" wrapText="1"/>
    </xf>
    <xf numFmtId="0" fontId="8" fillId="23" borderId="4" xfId="1" applyFont="1" applyFill="1" applyBorder="1" applyAlignment="1">
      <alignment horizontal="center" vertical="center" wrapText="1"/>
    </xf>
    <xf numFmtId="0" fontId="8" fillId="23" borderId="5" xfId="1" applyFont="1" applyFill="1" applyBorder="1" applyAlignment="1">
      <alignment horizontal="center" vertical="center" wrapText="1"/>
    </xf>
    <xf numFmtId="0" fontId="3" fillId="23" borderId="3" xfId="1" applyFont="1" applyFill="1" applyBorder="1" applyAlignment="1">
      <alignment horizontal="center" vertical="center" wrapText="1"/>
    </xf>
    <xf numFmtId="0" fontId="3" fillId="23" borderId="4" xfId="1" applyFont="1" applyFill="1" applyBorder="1" applyAlignment="1">
      <alignment horizontal="center" vertical="center" wrapText="1"/>
    </xf>
    <xf numFmtId="0" fontId="3" fillId="23" borderId="5" xfId="1" applyFont="1" applyFill="1" applyBorder="1" applyAlignment="1">
      <alignment horizontal="center" vertical="center" wrapText="1"/>
    </xf>
    <xf numFmtId="0" fontId="9" fillId="33" borderId="27" xfId="1" applyFont="1" applyFill="1" applyBorder="1" applyAlignment="1" applyProtection="1">
      <alignment horizontal="center" vertical="center" wrapText="1"/>
    </xf>
    <xf numFmtId="0" fontId="9" fillId="33" borderId="28" xfId="1" applyFont="1" applyFill="1" applyBorder="1" applyAlignment="1" applyProtection="1">
      <alignment horizontal="center" vertical="center" wrapText="1"/>
    </xf>
    <xf numFmtId="0" fontId="9" fillId="33" borderId="29" xfId="1" applyFont="1" applyFill="1" applyBorder="1" applyAlignment="1" applyProtection="1">
      <alignment horizontal="center" vertical="center" wrapText="1"/>
    </xf>
    <xf numFmtId="0" fontId="9" fillId="33" borderId="11" xfId="1" applyFont="1" applyFill="1" applyBorder="1" applyAlignment="1" applyProtection="1">
      <alignment horizontal="center" vertical="center" wrapText="1"/>
    </xf>
    <xf numFmtId="0" fontId="9" fillId="33" borderId="2" xfId="1" applyFont="1" applyFill="1" applyBorder="1" applyAlignment="1" applyProtection="1">
      <alignment horizontal="center" vertical="center" wrapText="1"/>
    </xf>
    <xf numFmtId="0" fontId="9" fillId="33" borderId="12" xfId="1" applyFont="1" applyFill="1" applyBorder="1" applyAlignment="1" applyProtection="1">
      <alignment horizontal="center" vertical="center" wrapText="1"/>
    </xf>
    <xf numFmtId="0" fontId="7" fillId="22" borderId="2" xfId="1" applyFont="1" applyFill="1" applyBorder="1" applyAlignment="1" applyProtection="1">
      <alignment horizontal="left"/>
    </xf>
    <xf numFmtId="0" fontId="7" fillId="22" borderId="0" xfId="1" applyFont="1" applyFill="1" applyBorder="1" applyAlignment="1" applyProtection="1">
      <alignment horizontal="left"/>
    </xf>
    <xf numFmtId="0" fontId="2" fillId="22" borderId="0" xfId="1" applyFill="1" applyBorder="1" applyAlignment="1" applyProtection="1">
      <alignment horizontal="center"/>
    </xf>
    <xf numFmtId="0" fontId="3" fillId="23" borderId="3" xfId="1" applyFont="1" applyFill="1" applyBorder="1" applyAlignment="1" applyProtection="1">
      <alignment horizontal="center" vertical="center"/>
      <protection locked="0"/>
    </xf>
    <xf numFmtId="0" fontId="3" fillId="23" borderId="4" xfId="1" applyFont="1" applyFill="1" applyBorder="1" applyAlignment="1" applyProtection="1">
      <alignment horizontal="center" vertical="center"/>
      <protection locked="0"/>
    </xf>
    <xf numFmtId="0" fontId="3" fillId="23" borderId="5" xfId="1" applyFont="1" applyFill="1" applyBorder="1" applyAlignment="1" applyProtection="1">
      <alignment horizontal="center" vertical="center"/>
      <protection locked="0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center" vertical="center"/>
      <protection locked="0"/>
    </xf>
    <xf numFmtId="0" fontId="3" fillId="0" borderId="5" xfId="1" applyFont="1" applyFill="1" applyBorder="1" applyAlignment="1" applyProtection="1">
      <alignment horizontal="center" vertical="center"/>
      <protection locked="0"/>
    </xf>
    <xf numFmtId="0" fontId="2" fillId="0" borderId="3" xfId="1" applyBorder="1" applyAlignment="1" applyProtection="1">
      <alignment horizontal="center"/>
      <protection locked="0"/>
    </xf>
    <xf numFmtId="0" fontId="2" fillId="0" borderId="4" xfId="1" applyBorder="1" applyAlignment="1" applyProtection="1">
      <alignment horizontal="center"/>
      <protection locked="0"/>
    </xf>
    <xf numFmtId="0" fontId="2" fillId="0" borderId="5" xfId="1" applyBorder="1" applyAlignment="1" applyProtection="1">
      <alignment horizontal="center"/>
      <protection locked="0"/>
    </xf>
    <xf numFmtId="0" fontId="6" fillId="0" borderId="3" xfId="1" applyFont="1" applyFill="1" applyBorder="1" applyAlignment="1" applyProtection="1">
      <alignment horizontal="center" wrapText="1"/>
      <protection locked="0"/>
    </xf>
    <xf numFmtId="0" fontId="6" fillId="0" borderId="4" xfId="1" applyFont="1" applyFill="1" applyBorder="1" applyAlignment="1" applyProtection="1">
      <alignment horizontal="center" wrapText="1"/>
      <protection locked="0"/>
    </xf>
    <xf numFmtId="0" fontId="6" fillId="0" borderId="5" xfId="1" applyFont="1" applyFill="1" applyBorder="1" applyAlignment="1" applyProtection="1">
      <alignment horizontal="center" wrapText="1"/>
      <protection locked="0"/>
    </xf>
    <xf numFmtId="0" fontId="6" fillId="23" borderId="11" xfId="1" applyFont="1" applyFill="1" applyBorder="1" applyAlignment="1" applyProtection="1">
      <alignment horizontal="center" vertical="center" wrapText="1"/>
      <protection locked="0"/>
    </xf>
    <xf numFmtId="0" fontId="6" fillId="23" borderId="2" xfId="1" applyFont="1" applyFill="1" applyBorder="1" applyAlignment="1" applyProtection="1">
      <alignment horizontal="center" vertical="center" wrapText="1"/>
      <protection locked="0"/>
    </xf>
    <xf numFmtId="0" fontId="2" fillId="0" borderId="11" xfId="1" applyBorder="1" applyAlignment="1" applyProtection="1">
      <alignment horizontal="center"/>
      <protection locked="0"/>
    </xf>
    <xf numFmtId="0" fontId="2" fillId="0" borderId="2" xfId="1" applyBorder="1" applyAlignment="1" applyProtection="1">
      <alignment horizontal="center"/>
      <protection locked="0"/>
    </xf>
    <xf numFmtId="0" fontId="2" fillId="0" borderId="12" xfId="1" applyBorder="1" applyAlignment="1" applyProtection="1">
      <alignment horizontal="center"/>
      <protection locked="0"/>
    </xf>
    <xf numFmtId="0" fontId="6" fillId="23" borderId="3" xfId="1" applyFont="1" applyFill="1" applyBorder="1" applyAlignment="1" applyProtection="1">
      <alignment horizontal="center" wrapText="1"/>
      <protection locked="0"/>
    </xf>
    <xf numFmtId="0" fontId="6" fillId="23" borderId="4" xfId="1" applyFont="1" applyFill="1" applyBorder="1" applyAlignment="1" applyProtection="1">
      <alignment horizontal="center" wrapText="1"/>
      <protection locked="0"/>
    </xf>
    <xf numFmtId="0" fontId="6" fillId="23" borderId="5" xfId="1" applyFont="1" applyFill="1" applyBorder="1" applyAlignment="1" applyProtection="1">
      <alignment horizontal="center" wrapText="1"/>
      <protection locked="0"/>
    </xf>
    <xf numFmtId="0" fontId="2" fillId="0" borderId="3" xfId="1" applyBorder="1" applyAlignment="1" applyProtection="1">
      <alignment horizontal="center" vertical="center" wrapText="1"/>
      <protection locked="0"/>
    </xf>
    <xf numFmtId="0" fontId="2" fillId="0" borderId="4" xfId="1" applyBorder="1" applyAlignment="1" applyProtection="1">
      <alignment horizontal="center" vertical="center" wrapText="1"/>
      <protection locked="0"/>
    </xf>
    <xf numFmtId="0" fontId="2" fillId="0" borderId="5" xfId="1" applyBorder="1" applyAlignment="1" applyProtection="1">
      <alignment horizontal="center" vertical="center" wrapText="1"/>
      <protection locked="0"/>
    </xf>
    <xf numFmtId="0" fontId="2" fillId="22" borderId="2" xfId="1" applyFill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0" fontId="4" fillId="23" borderId="3" xfId="1" applyFont="1" applyFill="1" applyBorder="1" applyAlignment="1" applyProtection="1">
      <alignment horizontal="center"/>
      <protection locked="0"/>
    </xf>
    <xf numFmtId="0" fontId="4" fillId="23" borderId="4" xfId="1" applyFont="1" applyFill="1" applyBorder="1" applyAlignment="1" applyProtection="1">
      <alignment horizontal="center"/>
      <protection locked="0"/>
    </xf>
    <xf numFmtId="0" fontId="4" fillId="23" borderId="5" xfId="1" applyFont="1" applyFill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6" fillId="23" borderId="3" xfId="1" applyFont="1" applyFill="1" applyBorder="1" applyAlignment="1" applyProtection="1">
      <alignment horizontal="center"/>
      <protection locked="0"/>
    </xf>
    <xf numFmtId="0" fontId="6" fillId="23" borderId="4" xfId="1" applyFont="1" applyFill="1" applyBorder="1" applyAlignment="1" applyProtection="1">
      <alignment horizontal="center"/>
      <protection locked="0"/>
    </xf>
    <xf numFmtId="0" fontId="6" fillId="23" borderId="5" xfId="1" applyFont="1" applyFill="1" applyBorder="1" applyAlignment="1" applyProtection="1">
      <alignment horizontal="center"/>
      <protection locked="0"/>
    </xf>
    <xf numFmtId="16" fontId="2" fillId="0" borderId="4" xfId="1" applyNumberFormat="1" applyBorder="1" applyAlignment="1" applyProtection="1">
      <alignment horizontal="center"/>
      <protection locked="0"/>
    </xf>
    <xf numFmtId="0" fontId="5" fillId="29" borderId="3" xfId="1" applyFont="1" applyFill="1" applyBorder="1" applyAlignment="1">
      <alignment horizontal="center" vertical="center" shrinkToFit="1"/>
    </xf>
    <xf numFmtId="0" fontId="5" fillId="29" borderId="4" xfId="1" applyFont="1" applyFill="1" applyBorder="1" applyAlignment="1">
      <alignment horizontal="center" vertical="center" shrinkToFit="1"/>
    </xf>
    <xf numFmtId="0" fontId="5" fillId="29" borderId="5" xfId="1" applyFont="1" applyFill="1" applyBorder="1" applyAlignment="1">
      <alignment horizontal="center" vertical="center" shrinkToFit="1"/>
    </xf>
    <xf numFmtId="0" fontId="2" fillId="0" borderId="14" xfId="0" applyFont="1" applyBorder="1" applyAlignment="1" applyProtection="1">
      <alignment vertical="top"/>
      <protection locked="0"/>
    </xf>
    <xf numFmtId="0" fontId="0" fillId="37" borderId="0" xfId="41" applyFont="1" applyFill="1" applyBorder="1"/>
    <xf numFmtId="0" fontId="0" fillId="37" borderId="0" xfId="41" applyFont="1" applyFill="1" applyBorder="1" applyAlignment="1">
      <alignment wrapText="1"/>
    </xf>
    <xf numFmtId="0" fontId="0" fillId="0" borderId="0" xfId="0" applyNumberFormat="1" applyFont="1" applyFill="1" applyBorder="1" applyAlignment="1" applyProtection="1">
      <alignment horizontal="left" vertical="center"/>
    </xf>
  </cellXfs>
  <cellStyles count="45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1 3" xfId="16"/>
    <cellStyle name="60% - Accent2 2" xfId="17"/>
    <cellStyle name="60% - Accent2 3" xfId="18"/>
    <cellStyle name="60% - Accent3 2" xfId="19"/>
    <cellStyle name="60% - Accent3 3" xfId="20"/>
    <cellStyle name="60% - Accent4 2" xfId="21"/>
    <cellStyle name="60% - Accent4 3" xfId="22"/>
    <cellStyle name="60% - Accent5 2" xfId="23"/>
    <cellStyle name="60% - Accent5 3" xfId="24"/>
    <cellStyle name="60% - Accent6 2" xfId="25"/>
    <cellStyle name="60% - Accent6 3" xfId="26"/>
    <cellStyle name="Currency 2" xfId="27"/>
    <cellStyle name="Currency 2 2" xfId="28"/>
    <cellStyle name="Hyperlink 2" xfId="29"/>
    <cellStyle name="Hyperlink 3" xfId="30"/>
    <cellStyle name="Neutral 2" xfId="31"/>
    <cellStyle name="Normal" xfId="0" builtinId="0"/>
    <cellStyle name="Normal 2" xfId="32"/>
    <cellStyle name="Normal 2 2" xfId="33"/>
    <cellStyle name="Normal 2 2 2" xfId="1"/>
    <cellStyle name="Normal 2 2 2 2" xfId="34"/>
    <cellStyle name="Normal 2 3" xfId="35"/>
    <cellStyle name="Normal 3" xfId="36"/>
    <cellStyle name="Normal 4" xfId="37"/>
    <cellStyle name="Normal 4 2" xfId="44"/>
    <cellStyle name="Normal 5" xfId="38"/>
    <cellStyle name="Normal 6" xfId="39"/>
    <cellStyle name="Normal 7" xfId="2"/>
    <cellStyle name="Normal 8" xfId="40"/>
    <cellStyle name="Normal 9" xfId="41"/>
    <cellStyle name="Note 2" xfId="42"/>
    <cellStyle name="Title 2" xfId="43"/>
  </cellStyles>
  <dxfs count="2807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0</xdr:row>
      <xdr:rowOff>0</xdr:rowOff>
    </xdr:from>
    <xdr:to>
      <xdr:col>10</xdr:col>
      <xdr:colOff>381000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885950" y="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571500</xdr:colOff>
      <xdr:row>0</xdr:row>
      <xdr:rowOff>0</xdr:rowOff>
    </xdr:from>
    <xdr:to>
      <xdr:col>12</xdr:col>
      <xdr:colOff>381000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2286000" y="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571500</xdr:colOff>
      <xdr:row>0</xdr:row>
      <xdr:rowOff>0</xdr:rowOff>
    </xdr:from>
    <xdr:to>
      <xdr:col>14</xdr:col>
      <xdr:colOff>381000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781300" y="0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42</xdr:col>
      <xdr:colOff>314325</xdr:colOff>
      <xdr:row>235</xdr:row>
      <xdr:rowOff>57150</xdr:rowOff>
    </xdr:from>
    <xdr:to>
      <xdr:col>42</xdr:col>
      <xdr:colOff>647700</xdr:colOff>
      <xdr:row>237</xdr:row>
      <xdr:rowOff>0</xdr:rowOff>
    </xdr:to>
    <xdr:pic>
      <xdr:nvPicPr>
        <xdr:cNvPr id="5" name="Picture 7" descr="SCMAP-USAVOLLEYBALL_c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18316575"/>
          <a:ext cx="3333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114300</xdr:colOff>
          <xdr:row>235</xdr:row>
          <xdr:rowOff>0</xdr:rowOff>
        </xdr:from>
        <xdr:to>
          <xdr:col>41</xdr:col>
          <xdr:colOff>228600</xdr:colOff>
          <xdr:row>235</xdr:row>
          <xdr:rowOff>0</xdr:rowOff>
        </xdr:to>
        <xdr:sp macro="" textlink="">
          <xdr:nvSpPr>
            <xdr:cNvPr id="1025" name="Pool4RecalcFinish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0</xdr:row>
      <xdr:rowOff>0</xdr:rowOff>
    </xdr:from>
    <xdr:to>
      <xdr:col>10</xdr:col>
      <xdr:colOff>381000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885950" y="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571500</xdr:colOff>
      <xdr:row>0</xdr:row>
      <xdr:rowOff>0</xdr:rowOff>
    </xdr:from>
    <xdr:to>
      <xdr:col>12</xdr:col>
      <xdr:colOff>381000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2286000" y="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571500</xdr:colOff>
      <xdr:row>0</xdr:row>
      <xdr:rowOff>0</xdr:rowOff>
    </xdr:from>
    <xdr:to>
      <xdr:col>14</xdr:col>
      <xdr:colOff>381000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2781300" y="0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42</xdr:col>
      <xdr:colOff>314325</xdr:colOff>
      <xdr:row>178</xdr:row>
      <xdr:rowOff>66675</xdr:rowOff>
    </xdr:from>
    <xdr:to>
      <xdr:col>42</xdr:col>
      <xdr:colOff>647700</xdr:colOff>
      <xdr:row>180</xdr:row>
      <xdr:rowOff>1</xdr:rowOff>
    </xdr:to>
    <xdr:pic>
      <xdr:nvPicPr>
        <xdr:cNvPr id="5" name="Picture 7" descr="SCMAP-USAVOLLEYBALL_c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18935700"/>
          <a:ext cx="33337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114300</xdr:colOff>
          <xdr:row>174</xdr:row>
          <xdr:rowOff>0</xdr:rowOff>
        </xdr:from>
        <xdr:to>
          <xdr:col>41</xdr:col>
          <xdr:colOff>228600</xdr:colOff>
          <xdr:row>174</xdr:row>
          <xdr:rowOff>0</xdr:rowOff>
        </xdr:to>
        <xdr:sp macro="" textlink="">
          <xdr:nvSpPr>
            <xdr:cNvPr id="2049" name="Pool4RecalcFinish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0</xdr:row>
      <xdr:rowOff>0</xdr:rowOff>
    </xdr:from>
    <xdr:to>
      <xdr:col>10</xdr:col>
      <xdr:colOff>381000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8DBB43D-B64C-4215-AF4F-C171B28FD355}"/>
            </a:ext>
          </a:extLst>
        </xdr:cNvPr>
        <xdr:cNvSpPr>
          <a:spLocks noChangeShapeType="1"/>
        </xdr:cNvSpPr>
      </xdr:nvSpPr>
      <xdr:spPr bwMode="auto">
        <a:xfrm>
          <a:off x="1935480" y="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571500</xdr:colOff>
      <xdr:row>0</xdr:row>
      <xdr:rowOff>0</xdr:rowOff>
    </xdr:from>
    <xdr:to>
      <xdr:col>12</xdr:col>
      <xdr:colOff>381000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92C904E-CB62-48DA-BD7E-A2921BFDE3A1}"/>
            </a:ext>
          </a:extLst>
        </xdr:cNvPr>
        <xdr:cNvSpPr>
          <a:spLocks noChangeShapeType="1"/>
        </xdr:cNvSpPr>
      </xdr:nvSpPr>
      <xdr:spPr bwMode="auto">
        <a:xfrm>
          <a:off x="2346960" y="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571500</xdr:colOff>
      <xdr:row>0</xdr:row>
      <xdr:rowOff>0</xdr:rowOff>
    </xdr:from>
    <xdr:to>
      <xdr:col>14</xdr:col>
      <xdr:colOff>381000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9B929DB3-24B2-4E87-84D1-EB8A6B208589}"/>
            </a:ext>
          </a:extLst>
        </xdr:cNvPr>
        <xdr:cNvSpPr>
          <a:spLocks noChangeShapeType="1"/>
        </xdr:cNvSpPr>
      </xdr:nvSpPr>
      <xdr:spPr bwMode="auto">
        <a:xfrm>
          <a:off x="2849880" y="0"/>
          <a:ext cx="822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42</xdr:col>
      <xdr:colOff>314325</xdr:colOff>
      <xdr:row>174</xdr:row>
      <xdr:rowOff>0</xdr:rowOff>
    </xdr:from>
    <xdr:to>
      <xdr:col>42</xdr:col>
      <xdr:colOff>647700</xdr:colOff>
      <xdr:row>175</xdr:row>
      <xdr:rowOff>110490</xdr:rowOff>
    </xdr:to>
    <xdr:pic>
      <xdr:nvPicPr>
        <xdr:cNvPr id="5" name="Picture 7" descr="SCMAP-USAVOLLEYBALL_c">
          <a:extLst>
            <a:ext uri="{FF2B5EF4-FFF2-40B4-BE49-F238E27FC236}">
              <a16:creationId xmlns:a16="http://schemas.microsoft.com/office/drawing/2014/main" id="{2EE3A5D9-60BA-430C-BDDE-56AE3F056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0865" y="30262830"/>
          <a:ext cx="333375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114300</xdr:colOff>
          <xdr:row>174</xdr:row>
          <xdr:rowOff>0</xdr:rowOff>
        </xdr:from>
        <xdr:to>
          <xdr:col>41</xdr:col>
          <xdr:colOff>228600</xdr:colOff>
          <xdr:row>174</xdr:row>
          <xdr:rowOff>0</xdr:rowOff>
        </xdr:to>
        <xdr:sp macro="" textlink="">
          <xdr:nvSpPr>
            <xdr:cNvPr id="6145" name="Pool4RecalcFinish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C67196A9-B791-4C15-98D3-3B700CB50A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0</xdr:row>
      <xdr:rowOff>0</xdr:rowOff>
    </xdr:from>
    <xdr:to>
      <xdr:col>10</xdr:col>
      <xdr:colOff>381000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D5AAE82-E44A-4987-BE8C-4C53A15FF6B9}"/>
            </a:ext>
          </a:extLst>
        </xdr:cNvPr>
        <xdr:cNvSpPr>
          <a:spLocks noChangeShapeType="1"/>
        </xdr:cNvSpPr>
      </xdr:nvSpPr>
      <xdr:spPr bwMode="auto">
        <a:xfrm>
          <a:off x="1935480" y="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571500</xdr:colOff>
      <xdr:row>0</xdr:row>
      <xdr:rowOff>0</xdr:rowOff>
    </xdr:from>
    <xdr:to>
      <xdr:col>12</xdr:col>
      <xdr:colOff>381000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FFF23C9-07E9-45E7-B3A4-017044E244FD}"/>
            </a:ext>
          </a:extLst>
        </xdr:cNvPr>
        <xdr:cNvSpPr>
          <a:spLocks noChangeShapeType="1"/>
        </xdr:cNvSpPr>
      </xdr:nvSpPr>
      <xdr:spPr bwMode="auto">
        <a:xfrm>
          <a:off x="2346960" y="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571500</xdr:colOff>
      <xdr:row>0</xdr:row>
      <xdr:rowOff>0</xdr:rowOff>
    </xdr:from>
    <xdr:to>
      <xdr:col>14</xdr:col>
      <xdr:colOff>381000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B6D7D42-3C80-4487-8575-B7EA9EF9B5E3}"/>
            </a:ext>
          </a:extLst>
        </xdr:cNvPr>
        <xdr:cNvSpPr>
          <a:spLocks noChangeShapeType="1"/>
        </xdr:cNvSpPr>
      </xdr:nvSpPr>
      <xdr:spPr bwMode="auto">
        <a:xfrm>
          <a:off x="2849880" y="0"/>
          <a:ext cx="822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42</xdr:col>
      <xdr:colOff>314325</xdr:colOff>
      <xdr:row>174</xdr:row>
      <xdr:rowOff>0</xdr:rowOff>
    </xdr:from>
    <xdr:to>
      <xdr:col>42</xdr:col>
      <xdr:colOff>647700</xdr:colOff>
      <xdr:row>175</xdr:row>
      <xdr:rowOff>108586</xdr:rowOff>
    </xdr:to>
    <xdr:pic>
      <xdr:nvPicPr>
        <xdr:cNvPr id="5" name="Picture 7" descr="SCMAP-USAVOLLEYBALL_c">
          <a:extLst>
            <a:ext uri="{FF2B5EF4-FFF2-40B4-BE49-F238E27FC236}">
              <a16:creationId xmlns:a16="http://schemas.microsoft.com/office/drawing/2014/main" id="{D19FA79A-8092-4E03-BE3A-09A062840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0865" y="18964275"/>
          <a:ext cx="3333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114300</xdr:colOff>
          <xdr:row>174</xdr:row>
          <xdr:rowOff>0</xdr:rowOff>
        </xdr:from>
        <xdr:to>
          <xdr:col>41</xdr:col>
          <xdr:colOff>228600</xdr:colOff>
          <xdr:row>174</xdr:row>
          <xdr:rowOff>0</xdr:rowOff>
        </xdr:to>
        <xdr:sp macro="" textlink="">
          <xdr:nvSpPr>
            <xdr:cNvPr id="5121" name="Pool4RecalcFinish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8525A240-7ED8-4171-A632-87C7F235A2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mmy/Downloads/Ranking%20Pool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nce/Documents/Volleyball%2017/Ratings/Season/2017-01-21/2017-01-21%20Consolidated%20r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1 Pool Example"/>
      <sheetName val="2 Pool Example"/>
      <sheetName val="3 Pool 15 tms"/>
      <sheetName val="3 Pool - wide Example"/>
      <sheetName val="4 Pool example"/>
      <sheetName val="Expected Outcomes"/>
    </sheetNames>
    <sheetDataSet>
      <sheetData sheetId="0">
        <row r="2">
          <cell r="AS2">
            <v>32</v>
          </cell>
        </row>
        <row r="3">
          <cell r="AS3">
            <v>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AM rnd 2 9 tms"/>
      <sheetName val="New AM wave 9 tms"/>
      <sheetName val="PM WAve  Rnd 2  9tms"/>
      <sheetName val="PM Wave Rnd 1 9tms"/>
      <sheetName val="12 club A Div 15 Tms"/>
      <sheetName val="12 Club B div 10 tms"/>
      <sheetName val="13 Club A division 10 tms"/>
      <sheetName val="13 Club B Division 10 tms"/>
      <sheetName val="13 Club C Division 10 tms"/>
      <sheetName val="14 Club A Div 14 tms"/>
      <sheetName val="14 Club B Div 12 tms"/>
      <sheetName val="15 Club 14 tms"/>
      <sheetName val="16 Club  12 tms  "/>
      <sheetName val="17 Club  10 tms"/>
      <sheetName val="RatingResultsSummary"/>
      <sheetName val="18 Club  10 tms"/>
      <sheetName val="Initial"/>
      <sheetName val="Waivered"/>
      <sheetName val="Final"/>
      <sheetName val="Final-PM"/>
    </sheetNames>
    <sheetDataSet>
      <sheetData sheetId="0"/>
      <sheetData sheetId="1">
        <row r="3">
          <cell r="AV3" t="str">
            <v>fj2footh5pm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G1" t="str">
            <v>Team code</v>
          </cell>
          <cell r="H1" t="str">
            <v>Club name</v>
          </cell>
          <cell r="I1" t="str">
            <v>Team Name</v>
          </cell>
          <cell r="J1" t="str">
            <v>Level</v>
          </cell>
          <cell r="K1" t="str">
            <v>Current Rating</v>
          </cell>
        </row>
        <row r="2">
          <cell r="G2" t="str">
            <v>fj1mvpjc1pm</v>
          </cell>
          <cell r="H2" t="str">
            <v>MVP</v>
          </cell>
          <cell r="I2" t="str">
            <v>MVP 11-Gold</v>
          </cell>
          <cell r="J2" t="str">
            <v>Power</v>
          </cell>
          <cell r="K2">
            <v>1473.3153485871062</v>
          </cell>
        </row>
        <row r="3">
          <cell r="G3" t="str">
            <v>fj1crone1pm</v>
          </cell>
          <cell r="H3" t="str">
            <v>Carolina One</v>
          </cell>
          <cell r="I3" t="str">
            <v>C1VB 11 State Greenville</v>
          </cell>
          <cell r="J3" t="str">
            <v>Club</v>
          </cell>
          <cell r="K3">
            <v>1400</v>
          </cell>
        </row>
        <row r="4">
          <cell r="G4" t="str">
            <v>fj1excel3pm</v>
          </cell>
          <cell r="H4" t="str">
            <v>Excell Sports</v>
          </cell>
          <cell r="I4" t="str">
            <v>Excell Dev. 11 2017</v>
          </cell>
          <cell r="J4" t="str">
            <v>Dev</v>
          </cell>
          <cell r="K4">
            <v>1200</v>
          </cell>
        </row>
        <row r="5">
          <cell r="G5" t="str">
            <v>fj2caris1pm</v>
          </cell>
          <cell r="H5" t="str">
            <v>Carolina Islanders</v>
          </cell>
          <cell r="I5" t="str">
            <v>Car. Islanders 12 Elite</v>
          </cell>
          <cell r="J5" t="str">
            <v>Power</v>
          </cell>
          <cell r="K5">
            <v>1588.0546571711616</v>
          </cell>
        </row>
        <row r="6">
          <cell r="G6" t="str">
            <v>fj2kersh1pm</v>
          </cell>
          <cell r="H6" t="str">
            <v>Kershaw County Juniors</v>
          </cell>
          <cell r="I6" t="str">
            <v>Kershaw 12 Black</v>
          </cell>
          <cell r="J6" t="str">
            <v>Power</v>
          </cell>
          <cell r="K6">
            <v>1600</v>
          </cell>
        </row>
        <row r="7">
          <cell r="G7" t="str">
            <v>fj2lakem1pm</v>
          </cell>
          <cell r="H7" t="str">
            <v>Lake Murray Volleyball Club</v>
          </cell>
          <cell r="I7" t="str">
            <v>Lake Murray 12 Red</v>
          </cell>
          <cell r="J7" t="str">
            <v>Power</v>
          </cell>
          <cell r="K7">
            <v>1746.8509792457253</v>
          </cell>
        </row>
        <row r="8">
          <cell r="G8" t="str">
            <v>fj2mvpjc1pm</v>
          </cell>
          <cell r="H8" t="str">
            <v>MVP</v>
          </cell>
          <cell r="I8" t="str">
            <v>MVP 12-Gold</v>
          </cell>
          <cell r="J8" t="str">
            <v>Power</v>
          </cell>
          <cell r="K8">
            <v>1707.8006673986267</v>
          </cell>
        </row>
        <row r="9">
          <cell r="G9" t="str">
            <v>fj2mvpjc2pm</v>
          </cell>
          <cell r="H9" t="str">
            <v>MVP</v>
          </cell>
          <cell r="I9" t="str">
            <v>MVP 12-Black</v>
          </cell>
          <cell r="J9" t="str">
            <v>Power</v>
          </cell>
          <cell r="K9">
            <v>1536.8245779108793</v>
          </cell>
        </row>
        <row r="10">
          <cell r="G10" t="str">
            <v>fj2upwrd1pm</v>
          </cell>
          <cell r="H10" t="str">
            <v>Upward Stars</v>
          </cell>
          <cell r="I10" t="str">
            <v>Upward Stars 12 Angie</v>
          </cell>
          <cell r="J10" t="str">
            <v>Power</v>
          </cell>
          <cell r="K10">
            <v>1600</v>
          </cell>
        </row>
        <row r="11">
          <cell r="G11" t="str">
            <v>mj2pstri1pm</v>
          </cell>
          <cell r="H11" t="str">
            <v>Palmetto Strikers</v>
          </cell>
          <cell r="I11" t="str">
            <v>Palm Strikers 12B Plat</v>
          </cell>
          <cell r="J11" t="str">
            <v>Power</v>
          </cell>
          <cell r="K11">
            <v>1549.7575137856709</v>
          </cell>
        </row>
        <row r="12">
          <cell r="G12" t="str">
            <v>mj2pstri1pm</v>
          </cell>
          <cell r="I12" t="str">
            <v>Palm Strikers 12 Boys</v>
          </cell>
          <cell r="J12" t="str">
            <v>Power</v>
          </cell>
          <cell r="K12">
            <v>1600</v>
          </cell>
        </row>
        <row r="13">
          <cell r="G13" t="str">
            <v>fj2pstri1pm</v>
          </cell>
          <cell r="H13" t="str">
            <v>Palmetto Strikers</v>
          </cell>
          <cell r="I13" t="str">
            <v>Palm Strikers 12 Platinum</v>
          </cell>
          <cell r="J13" t="str">
            <v>Power</v>
          </cell>
          <cell r="K13">
            <v>1590.1567686677104</v>
          </cell>
        </row>
        <row r="14">
          <cell r="G14" t="str">
            <v>fj2excel1pm</v>
          </cell>
          <cell r="H14" t="str">
            <v>Excell Sports</v>
          </cell>
          <cell r="I14" t="str">
            <v>Excell 12 Power 2017</v>
          </cell>
          <cell r="J14" t="str">
            <v>Power</v>
          </cell>
          <cell r="K14">
            <v>1601.107366554467</v>
          </cell>
        </row>
        <row r="15">
          <cell r="G15" t="str">
            <v>fj2motoj1pm</v>
          </cell>
          <cell r="H15" t="str">
            <v>MOTO</v>
          </cell>
          <cell r="I15" t="str">
            <v>MOTO 12 IGNITE</v>
          </cell>
          <cell r="J15" t="str">
            <v>Power</v>
          </cell>
          <cell r="K15">
            <v>1522.1891036154591</v>
          </cell>
        </row>
        <row r="16">
          <cell r="G16" t="str">
            <v>fj2magnm1pm</v>
          </cell>
          <cell r="H16" t="str">
            <v>Magnum Volleyball Club</v>
          </cell>
          <cell r="I16" t="str">
            <v>Magnum 12 Black</v>
          </cell>
          <cell r="J16" t="str">
            <v>Power</v>
          </cell>
          <cell r="K16">
            <v>1529.0989384029981</v>
          </cell>
        </row>
        <row r="17">
          <cell r="G17" t="str">
            <v>fj2pstri2pm</v>
          </cell>
          <cell r="H17" t="str">
            <v>Palmetto Strikers</v>
          </cell>
          <cell r="I17" t="str">
            <v>Palm Strikers 12 Premier</v>
          </cell>
          <cell r="J17" t="str">
            <v>Power</v>
          </cell>
          <cell r="K17">
            <v>1497.2124647290968</v>
          </cell>
        </row>
        <row r="18">
          <cell r="G18" t="str">
            <v>fj2vison1pm</v>
          </cell>
          <cell r="H18" t="str">
            <v>Vision</v>
          </cell>
          <cell r="I18" t="str">
            <v>12 Vision-Ben</v>
          </cell>
          <cell r="J18" t="str">
            <v>Power</v>
          </cell>
          <cell r="K18">
            <v>1500</v>
          </cell>
        </row>
        <row r="19">
          <cell r="G19" t="str">
            <v>fj2scmid1pm</v>
          </cell>
          <cell r="H19" t="str">
            <v>SC Midlands Volleyball</v>
          </cell>
          <cell r="I19" t="str">
            <v>SC Midlands 12 Black</v>
          </cell>
          <cell r="J19" t="str">
            <v>Club</v>
          </cell>
          <cell r="K19">
            <v>1466.6666666666667</v>
          </cell>
        </row>
        <row r="20">
          <cell r="G20" t="str">
            <v>fj2vonea1pm</v>
          </cell>
          <cell r="H20" t="str">
            <v>VolleyOne</v>
          </cell>
          <cell r="I20" t="str">
            <v>VolleyOneAcademy 12-Chels</v>
          </cell>
          <cell r="J20" t="str">
            <v>Club</v>
          </cell>
          <cell r="K20">
            <v>1426.4507672949526</v>
          </cell>
        </row>
        <row r="21">
          <cell r="G21" t="str">
            <v>fj2crone1pm</v>
          </cell>
          <cell r="H21" t="str">
            <v>Carolina One</v>
          </cell>
          <cell r="I21" t="str">
            <v>C1VB 12 Regional Grvl</v>
          </cell>
          <cell r="J21" t="str">
            <v>Club</v>
          </cell>
          <cell r="K21">
            <v>1354.5958072424739</v>
          </cell>
        </row>
        <row r="22">
          <cell r="G22" t="str">
            <v>fj2crone2pm</v>
          </cell>
          <cell r="H22" t="str">
            <v>Carolina One</v>
          </cell>
          <cell r="I22" t="str">
            <v>C1VB 12 State Grvl</v>
          </cell>
          <cell r="J22" t="str">
            <v>Club</v>
          </cell>
          <cell r="K22">
            <v>1400</v>
          </cell>
        </row>
        <row r="23">
          <cell r="G23" t="str">
            <v>fj2crone3pm</v>
          </cell>
          <cell r="H23" t="str">
            <v>Carolina One</v>
          </cell>
          <cell r="I23" t="str">
            <v>C1VB 12 State Pickens</v>
          </cell>
          <cell r="J23" t="str">
            <v>Club</v>
          </cell>
          <cell r="K23">
            <v>1400</v>
          </cell>
        </row>
        <row r="24">
          <cell r="G24" t="str">
            <v>fj2crosf1pm</v>
          </cell>
          <cell r="H24" t="str">
            <v>Crossfire Volleyball</v>
          </cell>
          <cell r="I24" t="str">
            <v>Crossfire 12</v>
          </cell>
          <cell r="J24" t="str">
            <v>Club</v>
          </cell>
          <cell r="K24">
            <v>1400</v>
          </cell>
        </row>
        <row r="25">
          <cell r="G25" t="str">
            <v>fj2csrah1pm</v>
          </cell>
          <cell r="H25" t="str">
            <v>CSRA Heat</v>
          </cell>
          <cell r="I25" t="str">
            <v>CSRA Heat 12 Gold</v>
          </cell>
          <cell r="J25" t="str">
            <v>Club</v>
          </cell>
          <cell r="K25">
            <v>1400</v>
          </cell>
        </row>
        <row r="26">
          <cell r="G26" t="str">
            <v>fj2csrah2pm</v>
          </cell>
          <cell r="H26" t="str">
            <v>CSRA Heat</v>
          </cell>
          <cell r="I26" t="str">
            <v>CSRA Heat 12 Black</v>
          </cell>
          <cell r="J26" t="str">
            <v>Club</v>
          </cell>
          <cell r="K26">
            <v>1400</v>
          </cell>
        </row>
        <row r="27">
          <cell r="G27" t="str">
            <v>fj2ecity1pm</v>
          </cell>
          <cell r="H27" t="str">
            <v>Emerald City</v>
          </cell>
          <cell r="I27" t="str">
            <v>Emerald City 12-1</v>
          </cell>
          <cell r="J27" t="str">
            <v>Club</v>
          </cell>
          <cell r="K27">
            <v>1400</v>
          </cell>
        </row>
        <row r="28">
          <cell r="G28" t="str">
            <v>fj2ecity2pm</v>
          </cell>
          <cell r="H28" t="str">
            <v>Emerald City</v>
          </cell>
          <cell r="I28" t="str">
            <v>Emerald City 12-2</v>
          </cell>
          <cell r="J28" t="str">
            <v>Club</v>
          </cell>
          <cell r="K28">
            <v>1400</v>
          </cell>
        </row>
        <row r="29">
          <cell r="G29" t="str">
            <v>fj2excel2pm</v>
          </cell>
          <cell r="H29" t="str">
            <v>Excell Sports</v>
          </cell>
          <cell r="I29" t="str">
            <v>Excell 12 Club 2017</v>
          </cell>
          <cell r="J29" t="str">
            <v>Club</v>
          </cell>
          <cell r="K29">
            <v>1375.0523383535012</v>
          </cell>
        </row>
        <row r="30">
          <cell r="G30" t="str">
            <v>fj2footh1pm</v>
          </cell>
          <cell r="H30" t="str">
            <v>Foothills Volleyball Club</v>
          </cell>
          <cell r="I30" t="str">
            <v>Foothills 12 King</v>
          </cell>
          <cell r="J30" t="str">
            <v>Club</v>
          </cell>
          <cell r="K30">
            <v>1437.3487614330793</v>
          </cell>
        </row>
        <row r="31">
          <cell r="G31" t="str">
            <v>fj2fortm1pm</v>
          </cell>
          <cell r="H31" t="str">
            <v>Fort Mill VBC</v>
          </cell>
          <cell r="I31" t="str">
            <v>Fort Mill 12 Carrie</v>
          </cell>
          <cell r="J31" t="str">
            <v>Club</v>
          </cell>
          <cell r="K31">
            <v>1400</v>
          </cell>
        </row>
        <row r="32">
          <cell r="G32" t="str">
            <v>fj2grand1pm</v>
          </cell>
          <cell r="H32" t="str">
            <v>GRAND STRAND JUNIORS VOLLEYBALL</v>
          </cell>
          <cell r="I32" t="str">
            <v>GSJ 12 Hannah</v>
          </cell>
          <cell r="J32" t="str">
            <v>Club</v>
          </cell>
          <cell r="K32">
            <v>1491.818053534166</v>
          </cell>
        </row>
        <row r="33">
          <cell r="G33" t="str">
            <v>fj2inten3pm</v>
          </cell>
          <cell r="H33" t="str">
            <v>Intense Volleyball</v>
          </cell>
          <cell r="I33" t="str">
            <v>Intense 12 Rock hill</v>
          </cell>
          <cell r="J33" t="str">
            <v>Club</v>
          </cell>
          <cell r="K33">
            <v>1400</v>
          </cell>
        </row>
        <row r="34">
          <cell r="G34" t="str">
            <v>fj2inten5pm</v>
          </cell>
          <cell r="H34" t="str">
            <v>Intense Volleyball</v>
          </cell>
          <cell r="I34" t="str">
            <v>Region 12 Intense gvl</v>
          </cell>
          <cell r="J34" t="str">
            <v>Club</v>
          </cell>
          <cell r="K34">
            <v>1400</v>
          </cell>
        </row>
        <row r="35">
          <cell r="G35" t="str">
            <v>fj2kersh2pm</v>
          </cell>
          <cell r="H35" t="str">
            <v>Kershaw County Juniors</v>
          </cell>
          <cell r="I35" t="str">
            <v>Kershaw 12 White</v>
          </cell>
          <cell r="J35" t="str">
            <v>Club</v>
          </cell>
          <cell r="K35">
            <v>1400</v>
          </cell>
        </row>
        <row r="36">
          <cell r="G36" t="str">
            <v>fj2magnm2pm</v>
          </cell>
          <cell r="H36" t="str">
            <v>Magnum Volleyball Club</v>
          </cell>
          <cell r="I36" t="str">
            <v>Magnum Aiken 12 Green</v>
          </cell>
          <cell r="J36" t="str">
            <v>Club</v>
          </cell>
          <cell r="K36">
            <v>1400</v>
          </cell>
        </row>
        <row r="37">
          <cell r="G37" t="str">
            <v>fj2magnm3pm</v>
          </cell>
          <cell r="H37" t="str">
            <v>Magnum Volleyball Club</v>
          </cell>
          <cell r="I37" t="str">
            <v>Magnum 12 Red</v>
          </cell>
          <cell r="J37" t="str">
            <v>Club</v>
          </cell>
          <cell r="K37">
            <v>1400</v>
          </cell>
        </row>
        <row r="38">
          <cell r="G38" t="str">
            <v>fj2magnm4pm</v>
          </cell>
          <cell r="H38" t="str">
            <v>Magnum Volleyball Club</v>
          </cell>
          <cell r="I38" t="str">
            <v>Magnum 12 Blue</v>
          </cell>
          <cell r="J38" t="str">
            <v>Club</v>
          </cell>
          <cell r="K38">
            <v>1400</v>
          </cell>
        </row>
        <row r="39">
          <cell r="G39" t="str">
            <v>fj2magnm5pm</v>
          </cell>
          <cell r="H39" t="str">
            <v>Magnum Volleyball Club</v>
          </cell>
          <cell r="I39" t="str">
            <v>Magnum Aiken 12 Yellow</v>
          </cell>
          <cell r="J39" t="str">
            <v>Club</v>
          </cell>
          <cell r="K39">
            <v>1400</v>
          </cell>
        </row>
        <row r="40">
          <cell r="G40" t="str">
            <v>fj2scmid2pm</v>
          </cell>
          <cell r="H40" t="str">
            <v>SC Midlands Volleyball</v>
          </cell>
          <cell r="I40" t="str">
            <v>SC Midlands 12 Garnet</v>
          </cell>
          <cell r="J40" t="str">
            <v>Club</v>
          </cell>
          <cell r="K40">
            <v>1400</v>
          </cell>
        </row>
        <row r="41">
          <cell r="G41" t="str">
            <v>fj2scwea1pm</v>
          </cell>
          <cell r="H41" t="str">
            <v>SCWE</v>
          </cell>
          <cell r="I41" t="str">
            <v>SCWE12FLYERS</v>
          </cell>
          <cell r="J41" t="str">
            <v>Club</v>
          </cell>
          <cell r="K41">
            <v>1400</v>
          </cell>
        </row>
        <row r="42">
          <cell r="G42" t="str">
            <v>fj2inten2pm</v>
          </cell>
          <cell r="H42" t="str">
            <v>Intense Volleyball</v>
          </cell>
          <cell r="I42" t="str">
            <v>Intense 12 Lexington</v>
          </cell>
          <cell r="J42" t="str">
            <v>Club</v>
          </cell>
          <cell r="K42">
            <v>1371.4285714285713</v>
          </cell>
        </row>
        <row r="43">
          <cell r="G43" t="str">
            <v>fj2ccoas1pm</v>
          </cell>
          <cell r="H43" t="str">
            <v>club coastal volleyball</v>
          </cell>
          <cell r="I43" t="str">
            <v>Club Coastal 12 Gray</v>
          </cell>
          <cell r="J43" t="str">
            <v>Club</v>
          </cell>
          <cell r="K43">
            <v>1262.0861010337815</v>
          </cell>
        </row>
        <row r="44">
          <cell r="G44" t="str">
            <v>fj2scmid3pm</v>
          </cell>
          <cell r="H44" t="str">
            <v>SC Midlands Volleyball</v>
          </cell>
          <cell r="I44" t="str">
            <v>SC Midlands KP Boys</v>
          </cell>
          <cell r="J44" t="str">
            <v>Club</v>
          </cell>
          <cell r="K44">
            <v>1333.3333333333333</v>
          </cell>
        </row>
        <row r="45">
          <cell r="G45" t="str">
            <v>fj2vison2pm</v>
          </cell>
          <cell r="H45" t="str">
            <v>Vision</v>
          </cell>
          <cell r="I45" t="str">
            <v>12 Vision-Erica</v>
          </cell>
          <cell r="J45" t="str">
            <v>Club</v>
          </cell>
          <cell r="K45">
            <v>1300</v>
          </cell>
        </row>
        <row r="46">
          <cell r="G46" t="str">
            <v>fj2crone4pm</v>
          </cell>
          <cell r="H46" t="str">
            <v>Carolina One</v>
          </cell>
          <cell r="I46" t="str">
            <v>C1VB Juniors Black</v>
          </cell>
          <cell r="J46" t="str">
            <v>Dev</v>
          </cell>
          <cell r="K46">
            <v>1200</v>
          </cell>
        </row>
        <row r="47">
          <cell r="G47" t="str">
            <v>fj2crone5pm</v>
          </cell>
          <cell r="H47" t="str">
            <v>Carolina One</v>
          </cell>
          <cell r="I47" t="str">
            <v>C1VB Juniors Royal</v>
          </cell>
          <cell r="J47" t="str">
            <v>Dev</v>
          </cell>
          <cell r="K47">
            <v>1200</v>
          </cell>
        </row>
        <row r="48">
          <cell r="G48" t="str">
            <v>fj2crone6pm</v>
          </cell>
          <cell r="H48" t="str">
            <v>Carolina One</v>
          </cell>
          <cell r="I48" t="str">
            <v>C1VB Juniors White</v>
          </cell>
          <cell r="J48" t="str">
            <v>Dev</v>
          </cell>
          <cell r="K48">
            <v>1200</v>
          </cell>
        </row>
        <row r="49">
          <cell r="G49" t="str">
            <v>fj2csout1pm</v>
          </cell>
          <cell r="H49" t="str">
            <v>CSNS</v>
          </cell>
          <cell r="I49" t="str">
            <v>CSNS 12-1</v>
          </cell>
          <cell r="J49" t="str">
            <v>Dev</v>
          </cell>
          <cell r="K49">
            <v>1200</v>
          </cell>
        </row>
        <row r="50">
          <cell r="G50" t="str">
            <v>fj2footh2pm</v>
          </cell>
          <cell r="H50" t="str">
            <v>Foothills Volleyball Club</v>
          </cell>
          <cell r="I50" t="str">
            <v>Foothills 12 Steph</v>
          </cell>
          <cell r="J50" t="str">
            <v>Dev</v>
          </cell>
          <cell r="K50">
            <v>1200</v>
          </cell>
        </row>
        <row r="51">
          <cell r="G51" t="str">
            <v>fj2footh3pm</v>
          </cell>
          <cell r="H51" t="str">
            <v>Foothills Volleyball Club</v>
          </cell>
          <cell r="I51" t="str">
            <v>Foothills 12 Kim</v>
          </cell>
          <cell r="J51" t="str">
            <v>Dev</v>
          </cell>
          <cell r="K51">
            <v>1200</v>
          </cell>
        </row>
        <row r="52">
          <cell r="G52" t="str">
            <v>fj2footh5pm</v>
          </cell>
          <cell r="H52" t="str">
            <v>Foothills Volleyball Club</v>
          </cell>
          <cell r="I52" t="str">
            <v>Foothills 12 Rachel</v>
          </cell>
          <cell r="J52" t="str">
            <v>Dev</v>
          </cell>
          <cell r="K52">
            <v>1200</v>
          </cell>
        </row>
        <row r="53">
          <cell r="G53" t="str">
            <v>fj2inten4pm</v>
          </cell>
          <cell r="H53" t="str">
            <v>Intense Volleyball</v>
          </cell>
          <cell r="I53" t="str">
            <v>Kidz Power Intense col</v>
          </cell>
          <cell r="J53" t="str">
            <v>Dev</v>
          </cell>
          <cell r="K53">
            <v>1200</v>
          </cell>
        </row>
        <row r="54">
          <cell r="G54" t="str">
            <v>fj2inten6pm</v>
          </cell>
          <cell r="H54" t="str">
            <v>Intense Volleyball</v>
          </cell>
          <cell r="I54" t="str">
            <v>Kidz Power Intense RH</v>
          </cell>
          <cell r="J54" t="str">
            <v>Dev</v>
          </cell>
          <cell r="K54">
            <v>1200</v>
          </cell>
        </row>
        <row r="55">
          <cell r="G55" t="str">
            <v>fj2kersh3pm</v>
          </cell>
          <cell r="H55" t="str">
            <v>Kershaw County Juniors</v>
          </cell>
          <cell r="I55" t="str">
            <v>Kershaw Dev 12 Black</v>
          </cell>
          <cell r="J55" t="str">
            <v>Dev</v>
          </cell>
          <cell r="K55">
            <v>1200</v>
          </cell>
        </row>
        <row r="56">
          <cell r="G56" t="str">
            <v>fj2kersh4pm</v>
          </cell>
          <cell r="H56" t="str">
            <v>Kershaw County Juniors</v>
          </cell>
          <cell r="I56" t="str">
            <v>Kershaw Dev 12 White</v>
          </cell>
          <cell r="J56" t="str">
            <v>Dev</v>
          </cell>
          <cell r="K56">
            <v>1200</v>
          </cell>
        </row>
        <row r="57">
          <cell r="G57" t="str">
            <v>fj2kvcjr1pm</v>
          </cell>
          <cell r="H57" t="str">
            <v>KVC Jrs</v>
          </cell>
          <cell r="I57" t="str">
            <v>KVC 12 Dev</v>
          </cell>
          <cell r="J57" t="str">
            <v>Dev</v>
          </cell>
          <cell r="K57">
            <v>1200</v>
          </cell>
        </row>
        <row r="58">
          <cell r="G58" t="str">
            <v>fj2magnm6pm</v>
          </cell>
          <cell r="H58" t="str">
            <v>Magnum Volleyball Club</v>
          </cell>
          <cell r="I58" t="str">
            <v>Magnum Youth Academy</v>
          </cell>
          <cell r="J58" t="str">
            <v>Dev</v>
          </cell>
          <cell r="K58">
            <v>1200</v>
          </cell>
        </row>
        <row r="59">
          <cell r="G59" t="str">
            <v>fj2mtnel1pm</v>
          </cell>
          <cell r="H59" t="str">
            <v>Mountain Elite Volleyball Club</v>
          </cell>
          <cell r="I59" t="str">
            <v>MEVC11Josie</v>
          </cell>
          <cell r="J59" t="str">
            <v>Dev</v>
          </cell>
          <cell r="K59">
            <v>1200</v>
          </cell>
        </row>
        <row r="60">
          <cell r="G60" t="str">
            <v>fj2scmid4pm</v>
          </cell>
          <cell r="H60" t="str">
            <v>SC Midlands Volleyball</v>
          </cell>
          <cell r="I60" t="str">
            <v>SC Midlands KP Black</v>
          </cell>
          <cell r="J60" t="str">
            <v>Dev</v>
          </cell>
          <cell r="K60">
            <v>1200</v>
          </cell>
        </row>
        <row r="61">
          <cell r="G61" t="str">
            <v>fj2scmid5pm</v>
          </cell>
          <cell r="H61" t="str">
            <v>SC Midlands Volleyball</v>
          </cell>
          <cell r="I61" t="str">
            <v>SC Midlands KP Garnet</v>
          </cell>
          <cell r="J61" t="str">
            <v>Dev</v>
          </cell>
          <cell r="K61">
            <v>1200</v>
          </cell>
        </row>
        <row r="62">
          <cell r="G62" t="str">
            <v>fj3charl1pm</v>
          </cell>
          <cell r="H62" t="str">
            <v>Charleston Juniors</v>
          </cell>
          <cell r="I62" t="str">
            <v>Chas Jrs 13 Red</v>
          </cell>
          <cell r="J62" t="str">
            <v>Power</v>
          </cell>
          <cell r="K62">
            <v>1937.4919528089513</v>
          </cell>
        </row>
        <row r="63">
          <cell r="G63" t="str">
            <v>fj3crone1pm</v>
          </cell>
          <cell r="H63" t="str">
            <v>Carolina One</v>
          </cell>
          <cell r="I63" t="str">
            <v>C1VB 13 Power Pickens</v>
          </cell>
          <cell r="J63" t="str">
            <v>Power</v>
          </cell>
          <cell r="K63">
            <v>2152.6882339125423</v>
          </cell>
        </row>
        <row r="64">
          <cell r="G64" t="str">
            <v>fj3crone2pm</v>
          </cell>
          <cell r="H64" t="str">
            <v>Carolina One</v>
          </cell>
          <cell r="I64" t="str">
            <v>C1VB 13 Power Grvl</v>
          </cell>
          <cell r="J64" t="str">
            <v>Power</v>
          </cell>
          <cell r="K64">
            <v>1942.7428613495103</v>
          </cell>
        </row>
        <row r="65">
          <cell r="G65" t="str">
            <v>fj3crosf1pm</v>
          </cell>
          <cell r="H65" t="str">
            <v>Crossfire Volleyball</v>
          </cell>
          <cell r="I65" t="str">
            <v>Crossfire 13 Power</v>
          </cell>
          <cell r="J65" t="str">
            <v>Power</v>
          </cell>
          <cell r="K65">
            <v>2090.0660361022765</v>
          </cell>
        </row>
        <row r="66">
          <cell r="G66" t="str">
            <v>fj3csrah1pm</v>
          </cell>
          <cell r="H66" t="str">
            <v>CSRA Heat</v>
          </cell>
          <cell r="I66" t="str">
            <v>CSRA Heat 13 Gold</v>
          </cell>
          <cell r="J66" t="str">
            <v>Power</v>
          </cell>
          <cell r="K66">
            <v>1966.1656268304903</v>
          </cell>
        </row>
        <row r="67">
          <cell r="G67" t="str">
            <v>fj3inten1pm</v>
          </cell>
          <cell r="H67" t="str">
            <v>Intense Volleyball</v>
          </cell>
          <cell r="I67" t="str">
            <v>Intense 13 Elite Columbia</v>
          </cell>
          <cell r="J67" t="str">
            <v>Power</v>
          </cell>
          <cell r="K67">
            <v>2000</v>
          </cell>
        </row>
        <row r="68">
          <cell r="G68" t="str">
            <v>fj3magnm1pm</v>
          </cell>
          <cell r="H68" t="str">
            <v>Magnum Volleyball Club</v>
          </cell>
          <cell r="I68" t="str">
            <v>Magnum 13 Mizuno</v>
          </cell>
          <cell r="J68" t="str">
            <v>Power</v>
          </cell>
          <cell r="K68">
            <v>2000</v>
          </cell>
        </row>
        <row r="69">
          <cell r="G69" t="str">
            <v>fj3mvpjc1pm</v>
          </cell>
          <cell r="H69" t="str">
            <v>MVP</v>
          </cell>
          <cell r="I69" t="str">
            <v>MVP 13-Gold</v>
          </cell>
          <cell r="J69" t="str">
            <v>Power</v>
          </cell>
          <cell r="K69">
            <v>2000</v>
          </cell>
        </row>
        <row r="70">
          <cell r="G70" t="str">
            <v>fj3mvpjc2pm</v>
          </cell>
          <cell r="H70" t="str">
            <v>MVP</v>
          </cell>
          <cell r="I70" t="str">
            <v>MVP 13-Black</v>
          </cell>
          <cell r="J70" t="str">
            <v>Power</v>
          </cell>
          <cell r="K70">
            <v>2000</v>
          </cell>
        </row>
        <row r="71">
          <cell r="G71" t="str">
            <v>fj3mvpjc3pm</v>
          </cell>
          <cell r="H71" t="str">
            <v>MVP</v>
          </cell>
          <cell r="I71" t="str">
            <v>MVP 13-White</v>
          </cell>
          <cell r="J71" t="str">
            <v>Power</v>
          </cell>
          <cell r="K71">
            <v>1915.8645173769876</v>
          </cell>
        </row>
        <row r="72">
          <cell r="G72" t="str">
            <v>fj3pstri1pm</v>
          </cell>
          <cell r="H72" t="str">
            <v>Palmetto Strikers</v>
          </cell>
          <cell r="I72" t="str">
            <v>Palm Strikers 13 Platinum</v>
          </cell>
          <cell r="J72" t="str">
            <v>Power</v>
          </cell>
          <cell r="K72">
            <v>2039.0534480015622</v>
          </cell>
        </row>
        <row r="73">
          <cell r="G73" t="str">
            <v>fj3upwrd1pm</v>
          </cell>
          <cell r="H73" t="str">
            <v>Upward Stars</v>
          </cell>
          <cell r="I73" t="str">
            <v>Upward Stars 13 Amy</v>
          </cell>
          <cell r="J73" t="str">
            <v>Power</v>
          </cell>
          <cell r="K73">
            <v>2000</v>
          </cell>
        </row>
        <row r="74">
          <cell r="G74" t="str">
            <v>fj3scmid1pm</v>
          </cell>
          <cell r="H74" t="str">
            <v>SC Midlands Volleyball</v>
          </cell>
          <cell r="I74" t="str">
            <v>SC Midlands 13 Perf</v>
          </cell>
          <cell r="J74" t="str">
            <v>Power</v>
          </cell>
          <cell r="K74">
            <v>1852.3713067755587</v>
          </cell>
        </row>
        <row r="75">
          <cell r="G75" t="str">
            <v>fj3pstri2pm</v>
          </cell>
          <cell r="H75" t="str">
            <v>Palmetto Strikers</v>
          </cell>
          <cell r="I75" t="str">
            <v>Palm Strikers 13 Premier</v>
          </cell>
          <cell r="J75" t="str">
            <v>Power</v>
          </cell>
          <cell r="K75">
            <v>1896.502812306353</v>
          </cell>
        </row>
        <row r="76">
          <cell r="G76" t="str">
            <v>fj3magnm2pm</v>
          </cell>
          <cell r="H76" t="str">
            <v>Magnum Volleyball Club</v>
          </cell>
          <cell r="I76" t="str">
            <v>Magnum 13 Blue</v>
          </cell>
          <cell r="J76" t="str">
            <v>Club</v>
          </cell>
          <cell r="K76">
            <v>1733.3333333333333</v>
          </cell>
        </row>
        <row r="77">
          <cell r="G77" t="str">
            <v>fj3upwrd2pm</v>
          </cell>
          <cell r="H77" t="str">
            <v>Upward Stars</v>
          </cell>
          <cell r="I77" t="str">
            <v>Upward Stars 13 Bridgette</v>
          </cell>
          <cell r="J77" t="str">
            <v>Club</v>
          </cell>
          <cell r="K77">
            <v>1854.2018399827273</v>
          </cell>
        </row>
        <row r="78">
          <cell r="G78" t="str">
            <v>fj3pstri3pm</v>
          </cell>
          <cell r="H78" t="str">
            <v>Palmetto Strikers</v>
          </cell>
          <cell r="I78" t="str">
            <v>Palm Strikers 13 Select</v>
          </cell>
          <cell r="J78" t="str">
            <v>Club</v>
          </cell>
          <cell r="K78">
            <v>1693.6375418300127</v>
          </cell>
        </row>
        <row r="79">
          <cell r="G79" t="str">
            <v>fj3charl2pm</v>
          </cell>
          <cell r="H79" t="str">
            <v>Charleston Juniors</v>
          </cell>
          <cell r="I79" t="str">
            <v>Chas Jrs 13 Blue</v>
          </cell>
          <cell r="J79" t="str">
            <v>Club</v>
          </cell>
          <cell r="K79">
            <v>1693.5789788646412</v>
          </cell>
        </row>
        <row r="80">
          <cell r="G80" t="str">
            <v>fj3fortm2pm</v>
          </cell>
          <cell r="H80" t="str">
            <v>Fort Mill VBC</v>
          </cell>
          <cell r="I80" t="str">
            <v>Fort Mill 13 Green</v>
          </cell>
          <cell r="J80" t="str">
            <v>Club</v>
          </cell>
          <cell r="K80">
            <v>1728.1310461413079</v>
          </cell>
        </row>
        <row r="81">
          <cell r="G81" t="str">
            <v>fj3crone3pm</v>
          </cell>
          <cell r="H81" t="str">
            <v>Carolina One</v>
          </cell>
          <cell r="I81" t="str">
            <v>C1VB 13 Regional Grvl</v>
          </cell>
          <cell r="J81" t="str">
            <v>Club</v>
          </cell>
          <cell r="K81">
            <v>1559.7550744981997</v>
          </cell>
        </row>
        <row r="82">
          <cell r="G82" t="str">
            <v>fj3crone4pm</v>
          </cell>
          <cell r="H82" t="str">
            <v>Carolina One</v>
          </cell>
          <cell r="I82" t="str">
            <v>C1VB 13 Regional Pickens</v>
          </cell>
          <cell r="J82" t="str">
            <v>Club</v>
          </cell>
          <cell r="K82">
            <v>1590.1315477575743</v>
          </cell>
        </row>
        <row r="83">
          <cell r="G83" t="str">
            <v>fj3crone5pm</v>
          </cell>
          <cell r="H83" t="str">
            <v>Carolina One</v>
          </cell>
          <cell r="I83" t="str">
            <v>C1VB 13 State Greenville</v>
          </cell>
          <cell r="J83" t="str">
            <v>Club</v>
          </cell>
          <cell r="K83">
            <v>1600</v>
          </cell>
        </row>
        <row r="84">
          <cell r="G84" t="str">
            <v>fj3crosf2pm</v>
          </cell>
          <cell r="H84" t="str">
            <v>Crossfire Volleyball</v>
          </cell>
          <cell r="I84" t="str">
            <v>Crossfire 13</v>
          </cell>
          <cell r="J84" t="str">
            <v>Club</v>
          </cell>
          <cell r="K84">
            <v>1633.9324219018492</v>
          </cell>
        </row>
        <row r="85">
          <cell r="G85" t="str">
            <v>fj3csrah2pm</v>
          </cell>
          <cell r="H85" t="str">
            <v>CSRA Heat</v>
          </cell>
          <cell r="I85" t="str">
            <v>CSRA Heat 13 Black</v>
          </cell>
          <cell r="J85" t="str">
            <v>Club</v>
          </cell>
          <cell r="K85">
            <v>1600</v>
          </cell>
        </row>
        <row r="86">
          <cell r="G86" t="str">
            <v>fj3footh1pm</v>
          </cell>
          <cell r="H86" t="str">
            <v>Foothills Volleyball Club</v>
          </cell>
          <cell r="I86" t="str">
            <v>Foothills 13 Steve</v>
          </cell>
          <cell r="J86" t="str">
            <v>Club</v>
          </cell>
          <cell r="K86">
            <v>1552.9187728513743</v>
          </cell>
        </row>
        <row r="87">
          <cell r="G87" t="str">
            <v>fj3fortm1pm</v>
          </cell>
          <cell r="H87" t="str">
            <v>Fort Mill VBC</v>
          </cell>
          <cell r="I87" t="str">
            <v>Fort Mill 13 Purple</v>
          </cell>
          <cell r="J87" t="str">
            <v>Club</v>
          </cell>
          <cell r="K87">
            <v>1715.7263580857598</v>
          </cell>
        </row>
        <row r="88">
          <cell r="G88" t="str">
            <v>fj3inten2pm</v>
          </cell>
          <cell r="H88" t="str">
            <v>Intense Volleyball</v>
          </cell>
          <cell r="I88" t="str">
            <v>Intense 13 Orange</v>
          </cell>
          <cell r="J88" t="str">
            <v>Club</v>
          </cell>
          <cell r="K88">
            <v>1600</v>
          </cell>
        </row>
        <row r="89">
          <cell r="G89" t="str">
            <v>fj3inten3pm</v>
          </cell>
          <cell r="H89" t="str">
            <v>Intense Volleyball</v>
          </cell>
          <cell r="I89" t="str">
            <v>Intense 13 Black Columbia</v>
          </cell>
          <cell r="J89" t="str">
            <v>Club</v>
          </cell>
          <cell r="K89">
            <v>1600</v>
          </cell>
        </row>
        <row r="90">
          <cell r="G90" t="str">
            <v>fj3inten4pm</v>
          </cell>
          <cell r="H90" t="str">
            <v>Intense Volleyball</v>
          </cell>
          <cell r="I90" t="str">
            <v>Intense 13 Rock Hill</v>
          </cell>
          <cell r="J90" t="str">
            <v>Club</v>
          </cell>
          <cell r="K90">
            <v>1600</v>
          </cell>
        </row>
        <row r="91">
          <cell r="G91" t="str">
            <v>fj3kersh1pm</v>
          </cell>
          <cell r="H91" t="str">
            <v>Kershaw County Juniors</v>
          </cell>
          <cell r="I91" t="str">
            <v>Kershaw 13 Black</v>
          </cell>
          <cell r="J91" t="str">
            <v>Club</v>
          </cell>
          <cell r="K91">
            <v>1600</v>
          </cell>
        </row>
        <row r="92">
          <cell r="G92" t="str">
            <v>fj3ladyc1pm</v>
          </cell>
          <cell r="H92" t="str">
            <v>Orangeburg Lady Cubs</v>
          </cell>
          <cell r="I92" t="str">
            <v>OLC 13 Purple Elite</v>
          </cell>
          <cell r="J92" t="str">
            <v>Club</v>
          </cell>
          <cell r="K92">
            <v>1600</v>
          </cell>
        </row>
        <row r="93">
          <cell r="G93" t="str">
            <v>fj3ladyc2pm</v>
          </cell>
          <cell r="H93" t="str">
            <v>Orangeburg Lady Cubs</v>
          </cell>
          <cell r="I93" t="str">
            <v>OLC 13s Purple</v>
          </cell>
          <cell r="J93" t="str">
            <v>Club</v>
          </cell>
          <cell r="K93">
            <v>1600</v>
          </cell>
        </row>
        <row r="94">
          <cell r="G94" t="str">
            <v>fj3mbeac2pm</v>
          </cell>
          <cell r="H94" t="str">
            <v>MBVC</v>
          </cell>
          <cell r="I94" t="str">
            <v>MBVC 13 Red Teresa</v>
          </cell>
          <cell r="J94" t="str">
            <v>Club</v>
          </cell>
          <cell r="K94">
            <v>1540.0355769325172</v>
          </cell>
        </row>
        <row r="95">
          <cell r="G95" t="str">
            <v>fj3mtnel1pm</v>
          </cell>
          <cell r="H95" t="str">
            <v>Mountain Elite Volleyball Club</v>
          </cell>
          <cell r="I95" t="str">
            <v>MEVC13Kenny</v>
          </cell>
          <cell r="J95" t="str">
            <v>Club</v>
          </cell>
          <cell r="K95">
            <v>1600</v>
          </cell>
        </row>
        <row r="96">
          <cell r="G96" t="str">
            <v>fj3prage1pm</v>
          </cell>
          <cell r="H96" t="str">
            <v>Palmetto Rage Volleyball Club</v>
          </cell>
          <cell r="I96" t="str">
            <v>PRV 13U Brittany</v>
          </cell>
          <cell r="J96" t="str">
            <v>Club</v>
          </cell>
          <cell r="K96">
            <v>1546.0358684980845</v>
          </cell>
        </row>
        <row r="97">
          <cell r="G97" t="str">
            <v>fj3scmid2pm</v>
          </cell>
          <cell r="H97" t="str">
            <v>SC Midlands Volleyball</v>
          </cell>
          <cell r="I97" t="str">
            <v>SC Midlands 13 Black</v>
          </cell>
          <cell r="J97" t="str">
            <v>Club</v>
          </cell>
          <cell r="K97">
            <v>1600</v>
          </cell>
        </row>
        <row r="98">
          <cell r="G98" t="str">
            <v>fj3scmid3pm</v>
          </cell>
          <cell r="H98" t="str">
            <v>SC Midlands Volleyball</v>
          </cell>
          <cell r="I98" t="str">
            <v>SC Midlands 13 Garnet</v>
          </cell>
          <cell r="J98" t="str">
            <v>Club</v>
          </cell>
          <cell r="K98">
            <v>1600</v>
          </cell>
        </row>
        <row r="99">
          <cell r="G99" t="str">
            <v>fj3scwea1pm</v>
          </cell>
          <cell r="H99" t="str">
            <v>SCWE</v>
          </cell>
          <cell r="I99" t="str">
            <v>SCWE13WINGS</v>
          </cell>
          <cell r="J99" t="str">
            <v>Club</v>
          </cell>
          <cell r="K99">
            <v>1600</v>
          </cell>
        </row>
        <row r="100">
          <cell r="G100" t="str">
            <v>fj3sumtr1pm</v>
          </cell>
          <cell r="H100" t="str">
            <v>Sumter VBC</v>
          </cell>
          <cell r="I100" t="str">
            <v>Sumter VBC 13</v>
          </cell>
          <cell r="J100" t="str">
            <v>Club</v>
          </cell>
          <cell r="K100">
            <v>1600</v>
          </cell>
        </row>
        <row r="101">
          <cell r="G101" t="str">
            <v>fj3vison1pm</v>
          </cell>
          <cell r="H101" t="str">
            <v>Vision</v>
          </cell>
          <cell r="I101" t="str">
            <v>13 Vision-Megan &amp; Katie</v>
          </cell>
          <cell r="J101" t="str">
            <v>Club</v>
          </cell>
          <cell r="K101">
            <v>1600</v>
          </cell>
        </row>
        <row r="102">
          <cell r="G102" t="str">
            <v>fj3footh2pm</v>
          </cell>
          <cell r="H102" t="str">
            <v>Foothills Volleyball Club</v>
          </cell>
          <cell r="I102" t="str">
            <v>Foothills 13 Caitlin</v>
          </cell>
          <cell r="J102" t="str">
            <v>Dev</v>
          </cell>
          <cell r="K102">
            <v>1200</v>
          </cell>
        </row>
        <row r="103">
          <cell r="G103" t="str">
            <v>fj4caris1pm</v>
          </cell>
          <cell r="H103" t="str">
            <v>Carolina Islanders</v>
          </cell>
          <cell r="I103" t="str">
            <v>Car. Islanders 14 Elite</v>
          </cell>
          <cell r="J103" t="str">
            <v>Power</v>
          </cell>
          <cell r="K103">
            <v>2200</v>
          </cell>
        </row>
        <row r="104">
          <cell r="G104" t="str">
            <v>fj4caris2pm</v>
          </cell>
          <cell r="H104" t="str">
            <v>Carolina Islanders</v>
          </cell>
          <cell r="I104" t="str">
            <v>Car Islanders 14 Power</v>
          </cell>
          <cell r="J104" t="str">
            <v>Power</v>
          </cell>
          <cell r="K104">
            <v>2200</v>
          </cell>
        </row>
        <row r="105">
          <cell r="G105" t="str">
            <v>fj4charl1pm</v>
          </cell>
          <cell r="H105" t="str">
            <v>Charleston Juniors</v>
          </cell>
          <cell r="I105" t="str">
            <v>Chas Jrs 14 Red</v>
          </cell>
          <cell r="J105" t="str">
            <v>Power</v>
          </cell>
          <cell r="K105">
            <v>2120.4974639095253</v>
          </cell>
        </row>
        <row r="106">
          <cell r="G106" t="str">
            <v>fj4crone1pm</v>
          </cell>
          <cell r="H106" t="str">
            <v>Carolina One</v>
          </cell>
          <cell r="I106" t="str">
            <v>C1VB 14 Elite Grvl</v>
          </cell>
          <cell r="J106" t="str">
            <v>Power</v>
          </cell>
          <cell r="K106">
            <v>2257.1292784787197</v>
          </cell>
        </row>
        <row r="107">
          <cell r="G107" t="str">
            <v>fj4crone2pm</v>
          </cell>
          <cell r="H107" t="str">
            <v>Carolina One</v>
          </cell>
          <cell r="I107" t="str">
            <v>C1VB 14 Power Grvl</v>
          </cell>
          <cell r="J107" t="str">
            <v>Power</v>
          </cell>
          <cell r="K107">
            <v>2175.0809426337946</v>
          </cell>
        </row>
        <row r="108">
          <cell r="G108" t="str">
            <v>fj4crosf1pm</v>
          </cell>
          <cell r="H108" t="str">
            <v>Crossfire Volleyball</v>
          </cell>
          <cell r="I108" t="str">
            <v>Crossfire 14 Power</v>
          </cell>
          <cell r="J108" t="str">
            <v>Power</v>
          </cell>
          <cell r="K108">
            <v>2166.7823153530389</v>
          </cell>
        </row>
        <row r="109">
          <cell r="G109" t="str">
            <v>fj4csrah1pm</v>
          </cell>
          <cell r="H109" t="str">
            <v>CSRA Heat</v>
          </cell>
          <cell r="I109" t="str">
            <v>CSRA Heat 14 National</v>
          </cell>
          <cell r="J109" t="str">
            <v>Power</v>
          </cell>
          <cell r="K109">
            <v>2180.5987194531212</v>
          </cell>
        </row>
        <row r="110">
          <cell r="G110" t="str">
            <v>fj4csrah2pm</v>
          </cell>
          <cell r="H110" t="str">
            <v>CSRA Heat</v>
          </cell>
          <cell r="I110" t="str">
            <v>CSRA Heat 14 Gold</v>
          </cell>
          <cell r="J110" t="str">
            <v>Power</v>
          </cell>
          <cell r="K110">
            <v>2208.3131101752324</v>
          </cell>
        </row>
        <row r="111">
          <cell r="G111" t="str">
            <v>fj4grand1pm</v>
          </cell>
          <cell r="H111" t="str">
            <v>GRAND STRAND JUNIORS VOLLEYBALL</v>
          </cell>
          <cell r="I111" t="str">
            <v>GSJ 14 National Jason</v>
          </cell>
          <cell r="J111" t="str">
            <v>Power</v>
          </cell>
          <cell r="K111">
            <v>2200</v>
          </cell>
        </row>
        <row r="112">
          <cell r="G112" t="str">
            <v>fj4grand2pm</v>
          </cell>
          <cell r="H112" t="str">
            <v>GRAND STRAND JUNIORS VOLLEYBALL</v>
          </cell>
          <cell r="I112" t="str">
            <v>GSJ 14 Kristin</v>
          </cell>
          <cell r="J112" t="str">
            <v>Power</v>
          </cell>
          <cell r="K112">
            <v>2104.8159469865618</v>
          </cell>
        </row>
        <row r="113">
          <cell r="G113" t="str">
            <v>fj4inten1pm</v>
          </cell>
          <cell r="H113" t="str">
            <v>Intense Volleyball</v>
          </cell>
          <cell r="I113" t="str">
            <v>Intense 14 Hyper Elite</v>
          </cell>
          <cell r="J113" t="str">
            <v>Power</v>
          </cell>
          <cell r="K113">
            <v>2192.5369343564885</v>
          </cell>
        </row>
        <row r="114">
          <cell r="G114" t="str">
            <v>fj4inten2pm</v>
          </cell>
          <cell r="H114" t="str">
            <v>Intense Volleyball</v>
          </cell>
          <cell r="I114" t="str">
            <v>Intense 14 Elite</v>
          </cell>
          <cell r="J114" t="str">
            <v>Power</v>
          </cell>
          <cell r="K114">
            <v>2200</v>
          </cell>
        </row>
        <row r="115">
          <cell r="G115" t="str">
            <v>fj4inten3pm</v>
          </cell>
          <cell r="H115" t="str">
            <v>Intense Volleyball</v>
          </cell>
          <cell r="I115" t="str">
            <v>Intense 14 performace</v>
          </cell>
          <cell r="J115" t="str">
            <v>Power</v>
          </cell>
          <cell r="K115">
            <v>2163.7344821514484</v>
          </cell>
        </row>
        <row r="116">
          <cell r="G116" t="str">
            <v>fj4inten5pm</v>
          </cell>
          <cell r="H116" t="str">
            <v>Intense Volleyball</v>
          </cell>
          <cell r="I116" t="str">
            <v>Intense 14 Performance Ro</v>
          </cell>
          <cell r="J116" t="str">
            <v>Power</v>
          </cell>
          <cell r="K116">
            <v>2088.3530041259473</v>
          </cell>
        </row>
        <row r="117">
          <cell r="G117" t="str">
            <v>fj4inten6pm</v>
          </cell>
          <cell r="H117" t="str">
            <v>Intense Volleyball</v>
          </cell>
          <cell r="I117" t="str">
            <v>Intense 14 Elite Rock Hil</v>
          </cell>
          <cell r="J117" t="str">
            <v>Power</v>
          </cell>
          <cell r="K117">
            <v>2200</v>
          </cell>
        </row>
        <row r="118">
          <cell r="G118" t="str">
            <v>fj4kersh1pm</v>
          </cell>
          <cell r="H118" t="str">
            <v>Kershaw County Juniors</v>
          </cell>
          <cell r="I118" t="str">
            <v>Kershaw 14 Black</v>
          </cell>
          <cell r="J118" t="str">
            <v>Power</v>
          </cell>
          <cell r="K118">
            <v>2200</v>
          </cell>
        </row>
        <row r="119">
          <cell r="G119" t="str">
            <v>fj4lowco1pm</v>
          </cell>
          <cell r="H119" t="str">
            <v>Low Country Volleyball Club</v>
          </cell>
          <cell r="I119" t="str">
            <v>Low Country 14N Aaron</v>
          </cell>
          <cell r="J119" t="str">
            <v>Power</v>
          </cell>
          <cell r="K119">
            <v>2156.2324864205407</v>
          </cell>
        </row>
        <row r="120">
          <cell r="G120" t="str">
            <v>fj4lowco2pm</v>
          </cell>
          <cell r="H120" t="str">
            <v>Low Country Volleyball Club</v>
          </cell>
          <cell r="I120" t="str">
            <v>Low Country 14N Tina</v>
          </cell>
          <cell r="J120" t="str">
            <v>Power</v>
          </cell>
          <cell r="K120">
            <v>2202.1728034434786</v>
          </cell>
        </row>
        <row r="121">
          <cell r="G121" t="str">
            <v>fj4magnm1pm</v>
          </cell>
          <cell r="H121" t="str">
            <v>Magnum Volleyball Club</v>
          </cell>
          <cell r="I121" t="str">
            <v>Magnum 14 Mizuno</v>
          </cell>
          <cell r="J121" t="str">
            <v>Power</v>
          </cell>
          <cell r="K121">
            <v>2200</v>
          </cell>
        </row>
        <row r="122">
          <cell r="G122" t="str">
            <v>fj4magnm2pm</v>
          </cell>
          <cell r="H122" t="str">
            <v>Magnum Volleyball Club</v>
          </cell>
          <cell r="I122" t="str">
            <v>Magnum 14 Elite</v>
          </cell>
          <cell r="J122" t="str">
            <v>Power</v>
          </cell>
          <cell r="K122">
            <v>2200</v>
          </cell>
        </row>
        <row r="123">
          <cell r="G123" t="str">
            <v>fj4magnm3pm</v>
          </cell>
          <cell r="H123" t="str">
            <v>Magnum Volleyball Club</v>
          </cell>
          <cell r="I123" t="str">
            <v>Magnum Aiken 14 Green</v>
          </cell>
          <cell r="J123" t="str">
            <v>Power</v>
          </cell>
          <cell r="K123">
            <v>2200</v>
          </cell>
        </row>
        <row r="124">
          <cell r="G124" t="str">
            <v>fj4mvpjc1pm</v>
          </cell>
          <cell r="H124" t="str">
            <v>MVP</v>
          </cell>
          <cell r="I124" t="str">
            <v>MVP 14-Gold</v>
          </cell>
          <cell r="J124" t="str">
            <v>Power</v>
          </cell>
          <cell r="K124">
            <v>2200</v>
          </cell>
        </row>
        <row r="125">
          <cell r="G125" t="str">
            <v>fj4pstri1pm</v>
          </cell>
          <cell r="H125" t="str">
            <v>Palmetto Strikers</v>
          </cell>
          <cell r="I125" t="str">
            <v>Palm Strikers 14 Plat - H</v>
          </cell>
          <cell r="J125" t="str">
            <v>Power</v>
          </cell>
          <cell r="K125">
            <v>2237.4859062594396</v>
          </cell>
        </row>
        <row r="126">
          <cell r="G126" t="str">
            <v>fj4pstri2pm</v>
          </cell>
          <cell r="H126" t="str">
            <v>Palmetto Strikers</v>
          </cell>
          <cell r="I126" t="str">
            <v>Palm Strikers 14 Plat - L</v>
          </cell>
          <cell r="J126" t="str">
            <v>Power</v>
          </cell>
          <cell r="K126">
            <v>2210.6639227494029</v>
          </cell>
        </row>
        <row r="127">
          <cell r="G127" t="str">
            <v>fj4scmid1pm</v>
          </cell>
          <cell r="H127" t="str">
            <v>SC Midlands Volleyball</v>
          </cell>
          <cell r="I127" t="str">
            <v>SC Midlands 14 National</v>
          </cell>
          <cell r="J127" t="str">
            <v>Power</v>
          </cell>
          <cell r="K127">
            <v>2200</v>
          </cell>
        </row>
        <row r="128">
          <cell r="G128" t="str">
            <v>fj4scmid2pm</v>
          </cell>
          <cell r="H128" t="str">
            <v>SC Midlands Volleyball</v>
          </cell>
          <cell r="I128" t="str">
            <v>SC Midlands 14 Perf</v>
          </cell>
          <cell r="J128" t="str">
            <v>Power</v>
          </cell>
          <cell r="K128">
            <v>2200</v>
          </cell>
        </row>
        <row r="129">
          <cell r="G129" t="str">
            <v>fj4upwrd2pm</v>
          </cell>
          <cell r="H129" t="str">
            <v>Upward Stars</v>
          </cell>
          <cell r="I129" t="str">
            <v>Upward Stars 14 Jenni</v>
          </cell>
          <cell r="J129" t="str">
            <v>Power</v>
          </cell>
          <cell r="K129">
            <v>2257.5203872558918</v>
          </cell>
        </row>
        <row r="130">
          <cell r="G130" t="str">
            <v>fj4vison1pm</v>
          </cell>
          <cell r="H130" t="str">
            <v>Vision</v>
          </cell>
          <cell r="I130" t="str">
            <v>Vision 14-Caty &amp; Erika</v>
          </cell>
          <cell r="J130" t="str">
            <v>Power</v>
          </cell>
          <cell r="K130">
            <v>2312.9812528642774</v>
          </cell>
        </row>
        <row r="131">
          <cell r="G131" t="str">
            <v>mj4caris1pm</v>
          </cell>
          <cell r="H131" t="str">
            <v>Carolina Islanders</v>
          </cell>
          <cell r="I131" t="str">
            <v>Car. Islanders 14 Boys</v>
          </cell>
          <cell r="J131" t="str">
            <v>Power</v>
          </cell>
          <cell r="K131">
            <v>2175.4488963954454</v>
          </cell>
        </row>
        <row r="132">
          <cell r="G132" t="str">
            <v>mj4caris1pm</v>
          </cell>
          <cell r="I132" t="str">
            <v>Car. Islanders 14 Boy</v>
          </cell>
          <cell r="J132" t="str">
            <v>Power</v>
          </cell>
          <cell r="K132">
            <v>2200</v>
          </cell>
        </row>
        <row r="133">
          <cell r="G133" t="str">
            <v>fj4vison2pm</v>
          </cell>
          <cell r="H133" t="str">
            <v>Vision</v>
          </cell>
          <cell r="I133" t="str">
            <v>Vision 14-Kristen &amp; Rach</v>
          </cell>
          <cell r="J133" t="str">
            <v>Power</v>
          </cell>
          <cell r="K133">
            <v>2150</v>
          </cell>
        </row>
        <row r="134">
          <cell r="G134" t="str">
            <v>fj4hhbtc1pm</v>
          </cell>
          <cell r="H134" t="str">
            <v>HHI SHARKS</v>
          </cell>
          <cell r="I134" t="str">
            <v>HHI SHARKS 14U</v>
          </cell>
          <cell r="J134" t="str">
            <v>Power</v>
          </cell>
          <cell r="K134">
            <v>2100</v>
          </cell>
        </row>
        <row r="135">
          <cell r="G135" t="str">
            <v>fj4mtnel1pm</v>
          </cell>
          <cell r="H135" t="str">
            <v>Mountain Elite Volleyball Club</v>
          </cell>
          <cell r="I135" t="str">
            <v>MEVC14Cori</v>
          </cell>
          <cell r="J135" t="str">
            <v>Power</v>
          </cell>
          <cell r="K135">
            <v>2113.396842419188</v>
          </cell>
        </row>
        <row r="136">
          <cell r="G136" t="str">
            <v>fj4upwrd3pm</v>
          </cell>
          <cell r="H136" t="str">
            <v>Upward Stars</v>
          </cell>
          <cell r="I136" t="str">
            <v>Upward Stars 14 Tara</v>
          </cell>
          <cell r="J136" t="str">
            <v>Power</v>
          </cell>
          <cell r="K136">
            <v>2201.9753930179209</v>
          </cell>
        </row>
        <row r="137">
          <cell r="G137" t="str">
            <v>fj4motoj1pm</v>
          </cell>
          <cell r="H137" t="str">
            <v>MOTO</v>
          </cell>
          <cell r="I137" t="str">
            <v>MOTO 14-1 IGNITE</v>
          </cell>
          <cell r="J137" t="str">
            <v>Power</v>
          </cell>
          <cell r="K137">
            <v>2039.2796529523846</v>
          </cell>
        </row>
        <row r="138">
          <cell r="G138" t="str">
            <v>fj4motoj2pm</v>
          </cell>
          <cell r="H138" t="str">
            <v>MOTO</v>
          </cell>
          <cell r="I138" t="str">
            <v>MOTO 14-2 IGNITE</v>
          </cell>
          <cell r="J138" t="str">
            <v>Power</v>
          </cell>
          <cell r="K138">
            <v>1896.3415220391612</v>
          </cell>
        </row>
        <row r="139">
          <cell r="G139" t="str">
            <v>fj4ccoas1pm</v>
          </cell>
          <cell r="H139" t="str">
            <v>club coastal volleyball</v>
          </cell>
          <cell r="I139" t="str">
            <v>Club Coastal 14 Blue</v>
          </cell>
          <cell r="J139" t="str">
            <v>Club</v>
          </cell>
          <cell r="K139">
            <v>1895.6498384460454</v>
          </cell>
        </row>
        <row r="140">
          <cell r="G140" t="str">
            <v>fj4fortm1pm</v>
          </cell>
          <cell r="H140" t="str">
            <v>Fort Mill VBC</v>
          </cell>
          <cell r="I140" t="str">
            <v>Fort Mill 14 Bayley</v>
          </cell>
          <cell r="J140" t="str">
            <v>Club</v>
          </cell>
          <cell r="K140">
            <v>2046.5213833507919</v>
          </cell>
        </row>
        <row r="141">
          <cell r="G141" t="str">
            <v>fj4pstri3pm</v>
          </cell>
          <cell r="H141" t="str">
            <v>Palmetto Strikers</v>
          </cell>
          <cell r="I141" t="str">
            <v>Palm Strikers 14 Premier</v>
          </cell>
          <cell r="J141" t="str">
            <v>Club</v>
          </cell>
          <cell r="K141">
            <v>1987.3948411288115</v>
          </cell>
        </row>
        <row r="142">
          <cell r="G142" t="str">
            <v>fj4atown1pm</v>
          </cell>
          <cell r="H142" t="str">
            <v>ATown Volleyball Academy</v>
          </cell>
          <cell r="I142" t="str">
            <v>ATown 14 Black</v>
          </cell>
          <cell r="J142" t="str">
            <v>Club</v>
          </cell>
          <cell r="K142">
            <v>1916.9532749111102</v>
          </cell>
        </row>
        <row r="143">
          <cell r="G143" t="str">
            <v>fj4charl2pm</v>
          </cell>
          <cell r="H143" t="str">
            <v>Charleston Juniors</v>
          </cell>
          <cell r="I143" t="str">
            <v>Chas Jrs 14 Blue</v>
          </cell>
          <cell r="J143" t="str">
            <v>Club</v>
          </cell>
          <cell r="K143">
            <v>1895.4654161275282</v>
          </cell>
        </row>
        <row r="144">
          <cell r="G144" t="str">
            <v>fj4starl1pm</v>
          </cell>
          <cell r="H144" t="str">
            <v>Columbia SC Starlings</v>
          </cell>
          <cell r="I144" t="str">
            <v>Columbia SC Starlings 14</v>
          </cell>
          <cell r="J144" t="str">
            <v>Club</v>
          </cell>
          <cell r="K144">
            <v>1921.8901473006756</v>
          </cell>
        </row>
        <row r="145">
          <cell r="G145" t="str">
            <v>fj4vonea1pm</v>
          </cell>
          <cell r="H145" t="str">
            <v>VolleyOne</v>
          </cell>
          <cell r="I145" t="str">
            <v>VolleyOneAcademy 14-Taisa</v>
          </cell>
          <cell r="J145" t="str">
            <v>Club</v>
          </cell>
          <cell r="K145">
            <v>1885.2929818149187</v>
          </cell>
        </row>
        <row r="146">
          <cell r="G146" t="str">
            <v>fj4ladyc1pm</v>
          </cell>
          <cell r="H146" t="str">
            <v>Orangeburg Lady Cubs</v>
          </cell>
          <cell r="I146" t="str">
            <v>OLC 14s Purple Elite</v>
          </cell>
          <cell r="J146" t="str">
            <v>Club</v>
          </cell>
          <cell r="K146">
            <v>1880</v>
          </cell>
        </row>
        <row r="147">
          <cell r="G147" t="str">
            <v>fj4mbeac1pm</v>
          </cell>
          <cell r="H147" t="str">
            <v>MBVC</v>
          </cell>
          <cell r="I147" t="str">
            <v>MBVC 14 Black Randy</v>
          </cell>
          <cell r="J147" t="str">
            <v>Club</v>
          </cell>
          <cell r="K147">
            <v>2232.5282669272556</v>
          </cell>
        </row>
        <row r="148">
          <cell r="G148" t="str">
            <v>fj4ccoas2pm</v>
          </cell>
          <cell r="H148" t="str">
            <v>club coastal volleyball</v>
          </cell>
          <cell r="I148" t="str">
            <v>Club Coastal 14 White</v>
          </cell>
          <cell r="J148" t="str">
            <v>Club</v>
          </cell>
          <cell r="K148">
            <v>1733.1802264513806</v>
          </cell>
        </row>
        <row r="149">
          <cell r="G149" t="str">
            <v>fj4celit1pm</v>
          </cell>
          <cell r="H149" t="str">
            <v>CHS Elite</v>
          </cell>
          <cell r="I149" t="str">
            <v>CHSElite 14-A</v>
          </cell>
          <cell r="J149" t="str">
            <v>Club</v>
          </cell>
          <cell r="K149">
            <v>1729.4670159274219</v>
          </cell>
        </row>
        <row r="150">
          <cell r="G150" t="str">
            <v>fj4crone3pm</v>
          </cell>
          <cell r="H150" t="str">
            <v>Carolina One</v>
          </cell>
          <cell r="I150" t="str">
            <v>C1VB 14 Reg Black Grvl</v>
          </cell>
          <cell r="J150" t="str">
            <v>Club</v>
          </cell>
          <cell r="K150">
            <v>1841.8890710091171</v>
          </cell>
        </row>
        <row r="151">
          <cell r="G151" t="str">
            <v>fj4crone4pm</v>
          </cell>
          <cell r="H151" t="str">
            <v>Carolina One</v>
          </cell>
          <cell r="I151" t="str">
            <v>C1VB 14 Reg Royal Grvl</v>
          </cell>
          <cell r="J151" t="str">
            <v>Club</v>
          </cell>
          <cell r="K151">
            <v>1836.7243012650156</v>
          </cell>
        </row>
        <row r="152">
          <cell r="G152" t="str">
            <v>fj4crone5pm</v>
          </cell>
          <cell r="H152" t="str">
            <v>Carolina One</v>
          </cell>
          <cell r="I152" t="str">
            <v>C1VB 14 State Grvl</v>
          </cell>
          <cell r="J152" t="str">
            <v>Club</v>
          </cell>
          <cell r="K152">
            <v>1800</v>
          </cell>
        </row>
        <row r="153">
          <cell r="G153" t="str">
            <v>fj4crosf2pm</v>
          </cell>
          <cell r="H153" t="str">
            <v>Crossfire Volleyball</v>
          </cell>
          <cell r="I153" t="str">
            <v>Crossfire 14</v>
          </cell>
          <cell r="J153" t="str">
            <v>Club</v>
          </cell>
          <cell r="K153">
            <v>1853.5993664092457</v>
          </cell>
        </row>
        <row r="154">
          <cell r="G154" t="str">
            <v>fj4csrah3pm</v>
          </cell>
          <cell r="H154" t="str">
            <v>CSRA Heat</v>
          </cell>
          <cell r="I154" t="str">
            <v>CSRA Heat 14 Black</v>
          </cell>
          <cell r="J154" t="str">
            <v>Club</v>
          </cell>
          <cell r="K154">
            <v>1835.2847547112133</v>
          </cell>
        </row>
        <row r="155">
          <cell r="G155" t="str">
            <v>fj4csrah4pm</v>
          </cell>
          <cell r="H155" t="str">
            <v>CSRA Heat</v>
          </cell>
          <cell r="I155" t="str">
            <v>CSRA Heat 14 Red</v>
          </cell>
          <cell r="J155" t="str">
            <v>Club</v>
          </cell>
          <cell r="K155">
            <v>1729.2404985207163</v>
          </cell>
        </row>
        <row r="156">
          <cell r="G156" t="str">
            <v>fj4csrah5pm</v>
          </cell>
          <cell r="H156" t="str">
            <v>CSRA Heat</v>
          </cell>
          <cell r="I156" t="str">
            <v>CSRA Heat 14 White</v>
          </cell>
          <cell r="J156" t="str">
            <v>Club</v>
          </cell>
          <cell r="K156">
            <v>1800</v>
          </cell>
        </row>
        <row r="157">
          <cell r="G157" t="str">
            <v>fj4ecity1pm</v>
          </cell>
          <cell r="H157" t="str">
            <v>Emerald City</v>
          </cell>
          <cell r="I157" t="str">
            <v>Emerald City 14-1</v>
          </cell>
          <cell r="J157" t="str">
            <v>Club</v>
          </cell>
          <cell r="K157">
            <v>1800</v>
          </cell>
        </row>
        <row r="158">
          <cell r="G158" t="str">
            <v>fj4ecity2pm</v>
          </cell>
          <cell r="H158" t="str">
            <v>Emerald City</v>
          </cell>
          <cell r="I158" t="str">
            <v>Emerald City 14-2</v>
          </cell>
          <cell r="J158" t="str">
            <v>Club</v>
          </cell>
          <cell r="K158">
            <v>1800</v>
          </cell>
        </row>
        <row r="159">
          <cell r="G159" t="str">
            <v>fj4footh1pm</v>
          </cell>
          <cell r="H159" t="str">
            <v>Foothills Volleyball Club</v>
          </cell>
          <cell r="I159" t="str">
            <v>Foothills 14 May</v>
          </cell>
          <cell r="J159" t="str">
            <v>Club</v>
          </cell>
          <cell r="K159">
            <v>1819.9309139814898</v>
          </cell>
        </row>
        <row r="160">
          <cell r="G160" t="str">
            <v>fj4inten4pm</v>
          </cell>
          <cell r="H160" t="str">
            <v>Intense Volleyball</v>
          </cell>
          <cell r="I160" t="str">
            <v>Intense 14 Region</v>
          </cell>
          <cell r="J160" t="str">
            <v>Club</v>
          </cell>
          <cell r="K160">
            <v>1800</v>
          </cell>
        </row>
        <row r="161">
          <cell r="G161" t="str">
            <v>fj4kvcjr1pm</v>
          </cell>
          <cell r="H161" t="str">
            <v>KVC Jrs</v>
          </cell>
          <cell r="I161" t="str">
            <v>KVC 14</v>
          </cell>
          <cell r="J161" t="str">
            <v>Club</v>
          </cell>
          <cell r="K161">
            <v>1800</v>
          </cell>
        </row>
        <row r="162">
          <cell r="G162" t="str">
            <v>fj4lakem2pm</v>
          </cell>
          <cell r="H162" t="str">
            <v>Lake Murray Volleyball Club</v>
          </cell>
          <cell r="I162" t="str">
            <v>Lake Murray 14 Black</v>
          </cell>
          <cell r="J162" t="str">
            <v>Club</v>
          </cell>
          <cell r="K162">
            <v>1884.515075674077</v>
          </cell>
        </row>
        <row r="163">
          <cell r="G163" t="str">
            <v>fj4magnm4pm</v>
          </cell>
          <cell r="H163" t="str">
            <v>Magnum Volleyball Club</v>
          </cell>
          <cell r="I163" t="str">
            <v>Magnum 14 Black</v>
          </cell>
          <cell r="J163" t="str">
            <v>Club</v>
          </cell>
          <cell r="K163">
            <v>1800</v>
          </cell>
        </row>
        <row r="164">
          <cell r="G164" t="str">
            <v>fj4magnm5pm</v>
          </cell>
          <cell r="H164" t="str">
            <v>Magnum Volleyball Club</v>
          </cell>
          <cell r="I164" t="str">
            <v>Magnum Aiken 14 Yellow</v>
          </cell>
          <cell r="J164" t="str">
            <v>Club</v>
          </cell>
          <cell r="K164">
            <v>1800</v>
          </cell>
        </row>
        <row r="165">
          <cell r="G165" t="str">
            <v>fj4magnm6pm</v>
          </cell>
          <cell r="H165" t="str">
            <v>Magnum Volleyball Club</v>
          </cell>
          <cell r="I165" t="str">
            <v>Magnum 14 Blue</v>
          </cell>
          <cell r="J165" t="str">
            <v>Club</v>
          </cell>
          <cell r="K165">
            <v>1800</v>
          </cell>
        </row>
        <row r="166">
          <cell r="G166" t="str">
            <v>fj4prage1pm</v>
          </cell>
          <cell r="H166" t="str">
            <v>Palmetto Rage Volleyball Club</v>
          </cell>
          <cell r="I166" t="str">
            <v>PRV -14U Janice</v>
          </cell>
          <cell r="J166" t="str">
            <v>Club</v>
          </cell>
          <cell r="K166">
            <v>1772.9124733588862</v>
          </cell>
        </row>
        <row r="167">
          <cell r="G167" t="str">
            <v>fj4scmid3pm</v>
          </cell>
          <cell r="H167" t="str">
            <v>SC Midlands Volleyball</v>
          </cell>
          <cell r="I167" t="str">
            <v>SC Midlands 14 Black</v>
          </cell>
          <cell r="J167" t="str">
            <v>Club</v>
          </cell>
          <cell r="K167">
            <v>1800</v>
          </cell>
        </row>
        <row r="168">
          <cell r="G168" t="str">
            <v>fj4scmid4pm</v>
          </cell>
          <cell r="H168" t="str">
            <v>SC Midlands Volleyball</v>
          </cell>
          <cell r="I168" t="str">
            <v>SC Midlands 14 Garnet</v>
          </cell>
          <cell r="J168" t="str">
            <v>Club</v>
          </cell>
          <cell r="K168">
            <v>1800</v>
          </cell>
        </row>
        <row r="169">
          <cell r="G169" t="str">
            <v>fj4scwea1pm</v>
          </cell>
          <cell r="H169" t="str">
            <v>SCWE</v>
          </cell>
          <cell r="I169" t="str">
            <v>SCWE14AERIES</v>
          </cell>
          <cell r="J169" t="str">
            <v>Club</v>
          </cell>
          <cell r="K169">
            <v>1800</v>
          </cell>
        </row>
        <row r="170">
          <cell r="G170" t="str">
            <v>fj4scwea2pm</v>
          </cell>
          <cell r="H170" t="str">
            <v>SCWE</v>
          </cell>
          <cell r="I170" t="str">
            <v>SCWE14TALONS</v>
          </cell>
          <cell r="J170" t="str">
            <v>Club</v>
          </cell>
          <cell r="K170">
            <v>1800</v>
          </cell>
        </row>
        <row r="171">
          <cell r="G171" t="str">
            <v>fj4sumtr1pm</v>
          </cell>
          <cell r="H171" t="str">
            <v>Sumter VBC</v>
          </cell>
          <cell r="I171" t="str">
            <v>Sumter VBC 14</v>
          </cell>
          <cell r="J171" t="str">
            <v>Club</v>
          </cell>
          <cell r="K171">
            <v>1800</v>
          </cell>
        </row>
        <row r="172">
          <cell r="G172" t="str">
            <v>fj5beauf1pm</v>
          </cell>
          <cell r="H172" t="str">
            <v>Beaufort Volleyball Club</v>
          </cell>
          <cell r="I172" t="str">
            <v>Beaufort 15 Grey</v>
          </cell>
          <cell r="J172" t="str">
            <v>Power</v>
          </cell>
          <cell r="K172">
            <v>2387.4256160710393</v>
          </cell>
        </row>
        <row r="173">
          <cell r="G173" t="str">
            <v>fj5beauf2pm</v>
          </cell>
          <cell r="H173" t="str">
            <v>Beaufort Volleyball Club</v>
          </cell>
          <cell r="I173" t="str">
            <v>Beaufort 15 Pink</v>
          </cell>
          <cell r="J173" t="str">
            <v>Power</v>
          </cell>
          <cell r="K173">
            <v>2419.8355804183434</v>
          </cell>
        </row>
        <row r="174">
          <cell r="G174" t="str">
            <v>fj5caris1pm</v>
          </cell>
          <cell r="H174" t="str">
            <v>Carolina Islanders</v>
          </cell>
          <cell r="I174" t="str">
            <v>Car .Islanders 15 Elite</v>
          </cell>
          <cell r="J174" t="str">
            <v>Power</v>
          </cell>
          <cell r="K174">
            <v>2400</v>
          </cell>
        </row>
        <row r="175">
          <cell r="G175" t="str">
            <v>fj5caris2pm</v>
          </cell>
          <cell r="H175" t="str">
            <v>Carolina Islanders</v>
          </cell>
          <cell r="I175" t="str">
            <v>Car. Islanders 15 Power</v>
          </cell>
          <cell r="J175" t="str">
            <v>Power</v>
          </cell>
          <cell r="K175">
            <v>2400</v>
          </cell>
        </row>
        <row r="176">
          <cell r="G176" t="str">
            <v>fj5charl1pm</v>
          </cell>
          <cell r="H176" t="str">
            <v>Charleston Juniors</v>
          </cell>
          <cell r="I176" t="str">
            <v>Chas Jrs 15 College Prep</v>
          </cell>
          <cell r="J176" t="str">
            <v>Power</v>
          </cell>
          <cell r="K176">
            <v>2580.6479326604422</v>
          </cell>
        </row>
        <row r="177">
          <cell r="G177" t="str">
            <v>fj5charl2pm</v>
          </cell>
          <cell r="H177" t="str">
            <v>Charleston Juniors</v>
          </cell>
          <cell r="I177" t="str">
            <v>Chas Jrs 15 Power</v>
          </cell>
          <cell r="J177" t="str">
            <v>Power</v>
          </cell>
          <cell r="K177">
            <v>2411.3980889405284</v>
          </cell>
        </row>
        <row r="178">
          <cell r="G178" t="str">
            <v>fj5cpeak2cr</v>
          </cell>
          <cell r="I178" t="str">
            <v>Carolina Peak 15 IT- Deb</v>
          </cell>
          <cell r="J178" t="str">
            <v>Power</v>
          </cell>
          <cell r="K178">
            <v>2414.995302339873</v>
          </cell>
        </row>
        <row r="179">
          <cell r="G179" t="str">
            <v>fj5cpeak4cr</v>
          </cell>
          <cell r="I179" t="str">
            <v>Carolina Peak 15 Jake</v>
          </cell>
          <cell r="J179" t="str">
            <v>Power</v>
          </cell>
          <cell r="K179">
            <v>2364.2186562525962</v>
          </cell>
        </row>
        <row r="180">
          <cell r="G180" t="str">
            <v>fj5crone1pm</v>
          </cell>
          <cell r="H180" t="str">
            <v>Carolina One</v>
          </cell>
          <cell r="I180" t="str">
            <v>C1VB 15 National Grvl</v>
          </cell>
          <cell r="J180" t="str">
            <v>Power</v>
          </cell>
          <cell r="K180">
            <v>2529.806341942141</v>
          </cell>
        </row>
        <row r="181">
          <cell r="G181" t="str">
            <v>fj5crone2pm</v>
          </cell>
          <cell r="H181" t="str">
            <v>Carolina One</v>
          </cell>
          <cell r="I181" t="str">
            <v>C1VB 15 Elite Grvl</v>
          </cell>
          <cell r="J181" t="str">
            <v>Power</v>
          </cell>
          <cell r="K181">
            <v>2495.8609490903345</v>
          </cell>
        </row>
        <row r="182">
          <cell r="G182" t="str">
            <v>fj5crone3pm</v>
          </cell>
          <cell r="H182" t="str">
            <v>Carolina One</v>
          </cell>
          <cell r="I182" t="str">
            <v>C1VB 15 Power Grvl</v>
          </cell>
          <cell r="J182" t="str">
            <v>Power</v>
          </cell>
          <cell r="K182">
            <v>2419.8800474739714</v>
          </cell>
        </row>
        <row r="183">
          <cell r="G183" t="str">
            <v>fj5crone4pm</v>
          </cell>
          <cell r="H183" t="str">
            <v>Carolina One</v>
          </cell>
          <cell r="I183" t="str">
            <v>C1VB 15 Power Pickens</v>
          </cell>
          <cell r="J183" t="str">
            <v>Power</v>
          </cell>
          <cell r="K183">
            <v>2400</v>
          </cell>
        </row>
        <row r="184">
          <cell r="G184" t="str">
            <v>fj5csrah1pm</v>
          </cell>
          <cell r="H184" t="str">
            <v>CSRA Heat</v>
          </cell>
          <cell r="I184" t="str">
            <v>CSRA Heat 15 National</v>
          </cell>
          <cell r="J184" t="str">
            <v>Power</v>
          </cell>
          <cell r="K184">
            <v>2490.4866358168492</v>
          </cell>
        </row>
        <row r="185">
          <cell r="G185" t="str">
            <v>fj5ecity1pm</v>
          </cell>
          <cell r="H185" t="str">
            <v>Emerald City</v>
          </cell>
          <cell r="I185" t="str">
            <v>Emerald City 15-Power</v>
          </cell>
          <cell r="J185" t="str">
            <v>Power</v>
          </cell>
          <cell r="K185">
            <v>2298.3524972797049</v>
          </cell>
        </row>
        <row r="186">
          <cell r="G186" t="str">
            <v>fj5excel1pm</v>
          </cell>
          <cell r="H186" t="str">
            <v>Excell Sports</v>
          </cell>
          <cell r="I186" t="str">
            <v>Excell 15 2017</v>
          </cell>
          <cell r="J186" t="str">
            <v>Power</v>
          </cell>
          <cell r="K186">
            <v>2505.020862099786</v>
          </cell>
        </row>
        <row r="187">
          <cell r="G187" t="str">
            <v>fj5grand1pm</v>
          </cell>
          <cell r="H187" t="str">
            <v>GRAND STRAND JUNIORS VOLLEYBALL</v>
          </cell>
          <cell r="I187" t="str">
            <v>GSJ 15 National Courtney</v>
          </cell>
          <cell r="J187" t="str">
            <v>Power</v>
          </cell>
          <cell r="K187">
            <v>2400</v>
          </cell>
        </row>
        <row r="188">
          <cell r="G188" t="str">
            <v>fj5inten1pm</v>
          </cell>
          <cell r="H188" t="str">
            <v>Intense Volleyball</v>
          </cell>
          <cell r="I188" t="str">
            <v>Intense 15 Hyper Elite</v>
          </cell>
          <cell r="J188" t="str">
            <v>Power</v>
          </cell>
          <cell r="K188">
            <v>2532.8046893748628</v>
          </cell>
        </row>
        <row r="189">
          <cell r="G189" t="str">
            <v>fj5inten2pm</v>
          </cell>
          <cell r="H189" t="str">
            <v>Intense Volleyball</v>
          </cell>
          <cell r="I189" t="str">
            <v>Intense 15 Elite Columbia</v>
          </cell>
          <cell r="J189" t="str">
            <v>Power</v>
          </cell>
          <cell r="K189">
            <v>2400</v>
          </cell>
        </row>
        <row r="190">
          <cell r="G190" t="str">
            <v>fj5inten3pm</v>
          </cell>
          <cell r="H190" t="str">
            <v>Intense Volleyball</v>
          </cell>
          <cell r="I190" t="str">
            <v>Intense 15 Elite Rock Hil</v>
          </cell>
          <cell r="J190" t="str">
            <v>Power</v>
          </cell>
          <cell r="K190">
            <v>2400</v>
          </cell>
        </row>
        <row r="191">
          <cell r="G191" t="str">
            <v>fj5kersh1pm</v>
          </cell>
          <cell r="H191" t="str">
            <v>Kershaw County Juniors</v>
          </cell>
          <cell r="I191" t="str">
            <v>Kershaw 15 Black</v>
          </cell>
          <cell r="J191" t="str">
            <v>Power</v>
          </cell>
          <cell r="K191">
            <v>2400</v>
          </cell>
        </row>
        <row r="192">
          <cell r="G192" t="str">
            <v>fj5lakem1pm</v>
          </cell>
          <cell r="H192" t="str">
            <v>Lake Murray Volleyball Club</v>
          </cell>
          <cell r="I192" t="str">
            <v>Lake Murray 15 Red</v>
          </cell>
          <cell r="J192" t="str">
            <v>Power</v>
          </cell>
          <cell r="K192">
            <v>2431.8105354897539</v>
          </cell>
        </row>
        <row r="193">
          <cell r="G193" t="str">
            <v>fj5magnm1pm</v>
          </cell>
          <cell r="H193" t="str">
            <v>Magnum Volleyball Club</v>
          </cell>
          <cell r="I193" t="str">
            <v>Magnum 15 Mizuno</v>
          </cell>
          <cell r="J193" t="str">
            <v>Power</v>
          </cell>
          <cell r="K193">
            <v>2400</v>
          </cell>
        </row>
        <row r="194">
          <cell r="G194" t="str">
            <v>fj5magnm2pm</v>
          </cell>
          <cell r="H194" t="str">
            <v>Magnum Volleyball Club</v>
          </cell>
          <cell r="I194" t="str">
            <v>Magnum 15 Elite</v>
          </cell>
          <cell r="J194" t="str">
            <v>Power</v>
          </cell>
          <cell r="K194">
            <v>2400</v>
          </cell>
        </row>
        <row r="195">
          <cell r="G195" t="str">
            <v>fj5mtnel1pm</v>
          </cell>
          <cell r="H195" t="str">
            <v>Mountain Elite Volleyball Club</v>
          </cell>
          <cell r="I195" t="str">
            <v>MEVC15Kenny</v>
          </cell>
          <cell r="J195" t="str">
            <v>Power</v>
          </cell>
          <cell r="K195">
            <v>2358.6895672074957</v>
          </cell>
        </row>
        <row r="196">
          <cell r="G196" t="str">
            <v>fj5pstri1pm</v>
          </cell>
          <cell r="H196" t="str">
            <v>Palmetto Strikers</v>
          </cell>
          <cell r="I196" t="str">
            <v>Palm Strikers 15 National</v>
          </cell>
          <cell r="J196" t="str">
            <v>Power</v>
          </cell>
          <cell r="K196">
            <v>2433.9655474743449</v>
          </cell>
        </row>
        <row r="197">
          <cell r="G197" t="str">
            <v>fj5scmid1pm</v>
          </cell>
          <cell r="H197" t="str">
            <v>SC Midlands Volleyball</v>
          </cell>
          <cell r="I197" t="str">
            <v>SC Midlands 15 National</v>
          </cell>
          <cell r="J197" t="str">
            <v>Power</v>
          </cell>
          <cell r="K197">
            <v>2400</v>
          </cell>
        </row>
        <row r="198">
          <cell r="G198" t="str">
            <v>fj5scmid2pm</v>
          </cell>
          <cell r="H198" t="str">
            <v>SC Midlands Volleyball</v>
          </cell>
          <cell r="I198" t="str">
            <v>SC Midlands 15 Perf</v>
          </cell>
          <cell r="J198" t="str">
            <v>Power</v>
          </cell>
          <cell r="K198">
            <v>2400</v>
          </cell>
        </row>
        <row r="199">
          <cell r="G199" t="str">
            <v>fj5tlife1cr</v>
          </cell>
          <cell r="I199" t="str">
            <v>TLVC 15 Black</v>
          </cell>
          <cell r="J199" t="str">
            <v>Power</v>
          </cell>
          <cell r="K199">
            <v>2425.9832095434467</v>
          </cell>
        </row>
        <row r="200">
          <cell r="G200" t="str">
            <v>fj5upsvc1pm</v>
          </cell>
          <cell r="H200" t="str">
            <v>Upstate Volleyball Club</v>
          </cell>
          <cell r="I200" t="str">
            <v>Upstate 15-1 Power</v>
          </cell>
          <cell r="J200" t="str">
            <v>Power</v>
          </cell>
          <cell r="K200">
            <v>2333.7938394280536</v>
          </cell>
        </row>
        <row r="201">
          <cell r="G201" t="str">
            <v>fj5csrah2pm</v>
          </cell>
          <cell r="H201" t="str">
            <v>CSRA Heat</v>
          </cell>
          <cell r="I201" t="str">
            <v>CSRA Heat 15 Gold</v>
          </cell>
          <cell r="J201" t="str">
            <v>Power</v>
          </cell>
          <cell r="K201">
            <v>2254.874844323052</v>
          </cell>
        </row>
        <row r="202">
          <cell r="G202" t="str">
            <v>fj5upwrd2pm</v>
          </cell>
          <cell r="H202" t="str">
            <v>Upward Stars</v>
          </cell>
          <cell r="I202" t="str">
            <v>Upward Stars 15 Zach</v>
          </cell>
          <cell r="J202" t="str">
            <v>Power</v>
          </cell>
          <cell r="K202">
            <v>2200</v>
          </cell>
        </row>
        <row r="203">
          <cell r="G203" t="str">
            <v>fj5upwrd3pm</v>
          </cell>
          <cell r="H203" t="str">
            <v>Upward Stars</v>
          </cell>
          <cell r="I203" t="str">
            <v>Upward Stars 15 Mark</v>
          </cell>
          <cell r="J203" t="str">
            <v>Power</v>
          </cell>
          <cell r="K203">
            <v>2200</v>
          </cell>
        </row>
        <row r="204">
          <cell r="G204" t="str">
            <v>fj5upwrd4pm</v>
          </cell>
          <cell r="H204" t="str">
            <v>Upward Stars</v>
          </cell>
          <cell r="I204" t="str">
            <v>Upward Stars 15 Erin</v>
          </cell>
          <cell r="J204" t="str">
            <v>Power</v>
          </cell>
          <cell r="K204">
            <v>2200</v>
          </cell>
        </row>
        <row r="205">
          <cell r="G205" t="str">
            <v>fj5upwrd5pm</v>
          </cell>
          <cell r="H205" t="str">
            <v>Upward Stars</v>
          </cell>
          <cell r="I205" t="str">
            <v>Upward Stars 15 Brittni</v>
          </cell>
          <cell r="J205" t="str">
            <v>Power</v>
          </cell>
          <cell r="K205">
            <v>2200</v>
          </cell>
        </row>
        <row r="206">
          <cell r="G206" t="str">
            <v>fj5atown1pm</v>
          </cell>
          <cell r="H206" t="str">
            <v>ATown Volleyball Academy</v>
          </cell>
          <cell r="I206" t="str">
            <v>ATown 15 Black</v>
          </cell>
          <cell r="J206" t="str">
            <v>Club</v>
          </cell>
          <cell r="K206">
            <v>2171.2364438273903</v>
          </cell>
        </row>
        <row r="207">
          <cell r="G207" t="str">
            <v>fj5mbeac1pm</v>
          </cell>
          <cell r="H207" t="str">
            <v>MBVC</v>
          </cell>
          <cell r="I207" t="str">
            <v>MBVC 15 Black Brittany</v>
          </cell>
          <cell r="J207" t="str">
            <v>Club</v>
          </cell>
          <cell r="K207">
            <v>2203.6952157273317</v>
          </cell>
        </row>
        <row r="208">
          <cell r="G208" t="str">
            <v>fj5196891pm</v>
          </cell>
          <cell r="H208" t="str">
            <v>Carolina Express</v>
          </cell>
          <cell r="I208" t="str">
            <v>Carolina Express 15</v>
          </cell>
          <cell r="J208" t="str">
            <v>Club</v>
          </cell>
          <cell r="K208">
            <v>2074.6603823800419</v>
          </cell>
        </row>
        <row r="209">
          <cell r="G209" t="str">
            <v>fj5branc2pm</v>
          </cell>
          <cell r="H209" t="str">
            <v>Branchville Juniors</v>
          </cell>
          <cell r="I209" t="str">
            <v>Branchville Jrs 15 U Pink</v>
          </cell>
          <cell r="J209" t="str">
            <v>Club</v>
          </cell>
          <cell r="K209">
            <v>1934.8260348820634</v>
          </cell>
        </row>
        <row r="210">
          <cell r="G210" t="str">
            <v>fj5crone5pm</v>
          </cell>
          <cell r="H210" t="str">
            <v>Carolina One</v>
          </cell>
          <cell r="I210" t="str">
            <v>C1VB 15 Regional Grvl</v>
          </cell>
          <cell r="J210" t="str">
            <v>Club</v>
          </cell>
          <cell r="K210">
            <v>1999.324379837778</v>
          </cell>
        </row>
        <row r="211">
          <cell r="G211" t="str">
            <v>fj5ecity2pm</v>
          </cell>
          <cell r="H211" t="str">
            <v>Emerald City</v>
          </cell>
          <cell r="I211" t="str">
            <v>Emerald City 15-1</v>
          </cell>
          <cell r="J211" t="str">
            <v>Club</v>
          </cell>
          <cell r="K211">
            <v>2000</v>
          </cell>
        </row>
        <row r="212">
          <cell r="G212" t="str">
            <v>fj5footh1pm</v>
          </cell>
          <cell r="H212" t="str">
            <v>Foothills Volleyball Club</v>
          </cell>
          <cell r="I212" t="str">
            <v>Foothills 15 Tiffany</v>
          </cell>
          <cell r="J212" t="str">
            <v>Club</v>
          </cell>
          <cell r="K212">
            <v>2091.2559564984886</v>
          </cell>
        </row>
        <row r="213">
          <cell r="G213" t="str">
            <v>fj5hvelo1pm</v>
          </cell>
          <cell r="H213" t="str">
            <v>High Velocity VBC</v>
          </cell>
          <cell r="I213" t="str">
            <v>High Velocity 15's</v>
          </cell>
          <cell r="J213" t="str">
            <v>Club</v>
          </cell>
          <cell r="K213">
            <v>1902.9009970891748</v>
          </cell>
        </row>
        <row r="214">
          <cell r="G214" t="str">
            <v>fj5ignte1pm</v>
          </cell>
          <cell r="H214" t="str">
            <v>Ignite</v>
          </cell>
          <cell r="I214" t="str">
            <v>Ignite 15</v>
          </cell>
          <cell r="J214" t="str">
            <v>Club</v>
          </cell>
          <cell r="K214">
            <v>2000</v>
          </cell>
        </row>
        <row r="215">
          <cell r="G215" t="str">
            <v>fj5lakem2pm</v>
          </cell>
          <cell r="H215" t="str">
            <v>Lake Murray Volleyball Club</v>
          </cell>
          <cell r="I215" t="str">
            <v>Lake Murray 15 Black</v>
          </cell>
          <cell r="J215" t="str">
            <v>Club</v>
          </cell>
          <cell r="K215">
            <v>1958.3689992097629</v>
          </cell>
        </row>
        <row r="216">
          <cell r="G216" t="str">
            <v>fj5magnm3pm</v>
          </cell>
          <cell r="H216" t="str">
            <v>Magnum Volleyball Club</v>
          </cell>
          <cell r="I216" t="str">
            <v>Magnum 15 Black</v>
          </cell>
          <cell r="J216" t="str">
            <v>Club</v>
          </cell>
          <cell r="K216">
            <v>2000</v>
          </cell>
        </row>
        <row r="217">
          <cell r="G217" t="str">
            <v>fj5magnm4pm</v>
          </cell>
          <cell r="H217" t="str">
            <v>Magnum Volleyball Club</v>
          </cell>
          <cell r="I217" t="str">
            <v>Magnum Aiken 15 Green</v>
          </cell>
          <cell r="J217" t="str">
            <v>Club</v>
          </cell>
          <cell r="K217">
            <v>2000</v>
          </cell>
        </row>
        <row r="218">
          <cell r="G218" t="str">
            <v>fj5pstri2pm</v>
          </cell>
          <cell r="H218" t="str">
            <v>Palmetto Strikers</v>
          </cell>
          <cell r="I218" t="str">
            <v>Palm Strikers 15 Platinum</v>
          </cell>
          <cell r="J218" t="str">
            <v>Club</v>
          </cell>
          <cell r="K218">
            <v>2084.4158112051268</v>
          </cell>
        </row>
        <row r="219">
          <cell r="G219" t="str">
            <v>fj5sandh1pm</v>
          </cell>
          <cell r="H219" t="str">
            <v>Sandhills Volleyball Club</v>
          </cell>
          <cell r="I219" t="str">
            <v>SVBC Blazers 15</v>
          </cell>
          <cell r="J219" t="str">
            <v>Club</v>
          </cell>
          <cell r="K219">
            <v>1949.6387452744243</v>
          </cell>
        </row>
        <row r="220">
          <cell r="G220" t="str">
            <v>fj5scmid3pm</v>
          </cell>
          <cell r="H220" t="str">
            <v>SC Midlands Volleyball</v>
          </cell>
          <cell r="I220" t="str">
            <v>SC Midlands 15 Black</v>
          </cell>
          <cell r="J220" t="str">
            <v>Club</v>
          </cell>
          <cell r="K220">
            <v>2000</v>
          </cell>
        </row>
        <row r="221">
          <cell r="G221" t="str">
            <v>fj5scmid4pm</v>
          </cell>
          <cell r="H221" t="str">
            <v>SC Midlands Volleyball</v>
          </cell>
          <cell r="I221" t="str">
            <v>SC Midlands 15 Garnet</v>
          </cell>
          <cell r="J221" t="str">
            <v>Club</v>
          </cell>
          <cell r="K221">
            <v>2000</v>
          </cell>
        </row>
        <row r="222">
          <cell r="G222" t="str">
            <v>fj5sumtr1pm</v>
          </cell>
          <cell r="H222" t="str">
            <v>Sumter VBC</v>
          </cell>
          <cell r="I222" t="str">
            <v>Sumter VBC 15</v>
          </cell>
          <cell r="J222" t="str">
            <v>Club</v>
          </cell>
          <cell r="K222">
            <v>2000</v>
          </cell>
        </row>
        <row r="223">
          <cell r="G223" t="str">
            <v>fj5upsvc2pm</v>
          </cell>
          <cell r="H223" t="str">
            <v>Upstate Volleyball Club</v>
          </cell>
          <cell r="I223" t="str">
            <v>Upstate 15-2 Club</v>
          </cell>
          <cell r="J223" t="str">
            <v>Club</v>
          </cell>
          <cell r="K223">
            <v>2014.4481187300305</v>
          </cell>
        </row>
        <row r="224">
          <cell r="G224" t="str">
            <v>fj5vison1pm</v>
          </cell>
          <cell r="H224" t="str">
            <v>Vision</v>
          </cell>
          <cell r="I224" t="str">
            <v>Vision 15-Serena &amp; Emily</v>
          </cell>
          <cell r="J224" t="str">
            <v>Club</v>
          </cell>
          <cell r="K224">
            <v>2000</v>
          </cell>
        </row>
        <row r="225">
          <cell r="G225" t="str">
            <v>fj6charl1pm</v>
          </cell>
          <cell r="H225" t="str">
            <v>Charleston Juniors</v>
          </cell>
          <cell r="I225" t="str">
            <v>Chas Jrs 16 College Prep</v>
          </cell>
          <cell r="J225" t="str">
            <v>Power</v>
          </cell>
          <cell r="K225">
            <v>2588.4978348912359</v>
          </cell>
        </row>
        <row r="226">
          <cell r="G226" t="str">
            <v>fj6cpeak2cr</v>
          </cell>
          <cell r="I226" t="str">
            <v>Carolina Peak 16- Green</v>
          </cell>
          <cell r="J226" t="str">
            <v>Power</v>
          </cell>
          <cell r="K226">
            <v>2590.6949709264486</v>
          </cell>
        </row>
        <row r="227">
          <cell r="G227" t="str">
            <v>fj6crchv1cr</v>
          </cell>
          <cell r="I227" t="str">
            <v>Carolina Chaos 16-1</v>
          </cell>
          <cell r="J227" t="str">
            <v>Power</v>
          </cell>
          <cell r="K227">
            <v>2494.0367535342011</v>
          </cell>
        </row>
        <row r="228">
          <cell r="G228" t="str">
            <v>fj6crone1pm</v>
          </cell>
          <cell r="H228" t="str">
            <v>Carolina One</v>
          </cell>
          <cell r="I228" t="str">
            <v>C1VB 16 National Grvl</v>
          </cell>
          <cell r="J228" t="str">
            <v>Power</v>
          </cell>
          <cell r="K228">
            <v>2742.7064901130243</v>
          </cell>
        </row>
        <row r="229">
          <cell r="G229" t="str">
            <v>fj6crone2pm</v>
          </cell>
          <cell r="H229" t="str">
            <v>Carolina One</v>
          </cell>
          <cell r="I229" t="str">
            <v>C1VB 16 Elite Pickens</v>
          </cell>
          <cell r="J229" t="str">
            <v>Power</v>
          </cell>
          <cell r="K229">
            <v>2667.1608520539512</v>
          </cell>
        </row>
        <row r="230">
          <cell r="G230" t="str">
            <v>fj6crosf1pm</v>
          </cell>
          <cell r="H230" t="str">
            <v>Crossfire Volleyball</v>
          </cell>
          <cell r="I230" t="str">
            <v>Crossfire 16 Power</v>
          </cell>
          <cell r="J230" t="str">
            <v>Power</v>
          </cell>
          <cell r="K230">
            <v>2498.4008847697546</v>
          </cell>
        </row>
        <row r="231">
          <cell r="G231" t="str">
            <v>fj6csrah1pm</v>
          </cell>
          <cell r="H231" t="str">
            <v>CSRA Heat</v>
          </cell>
          <cell r="I231" t="str">
            <v>CSRA Heat 16 National</v>
          </cell>
          <cell r="J231" t="str">
            <v>Power</v>
          </cell>
          <cell r="K231">
            <v>2536.3497914010086</v>
          </cell>
        </row>
        <row r="232">
          <cell r="G232" t="str">
            <v>fj6grand1pm</v>
          </cell>
          <cell r="H232" t="str">
            <v>GRAND STRAND JUNIORS VOLLEYBALL</v>
          </cell>
          <cell r="I232" t="str">
            <v>GSJ 16 National Alex</v>
          </cell>
          <cell r="J232" t="str">
            <v>Power</v>
          </cell>
          <cell r="K232">
            <v>2600</v>
          </cell>
        </row>
        <row r="233">
          <cell r="G233" t="str">
            <v>fj6grand2pm</v>
          </cell>
          <cell r="H233" t="str">
            <v>GRAND STRAND JUNIORS VOLLEYBALL</v>
          </cell>
          <cell r="I233" t="str">
            <v>GSJ 16 Lee</v>
          </cell>
          <cell r="J233" t="str">
            <v>Power</v>
          </cell>
          <cell r="K233">
            <v>2529.9395928312915</v>
          </cell>
        </row>
        <row r="234">
          <cell r="G234" t="str">
            <v>fj6grand3pm</v>
          </cell>
          <cell r="H234" t="str">
            <v>GRAND STRAND JUNIORS VOLLEYBALL</v>
          </cell>
          <cell r="I234" t="str">
            <v>GSJ 16 Chiquita</v>
          </cell>
          <cell r="J234" t="str">
            <v>Power</v>
          </cell>
          <cell r="K234">
            <v>2482.7077944451225</v>
          </cell>
        </row>
        <row r="235">
          <cell r="G235" t="str">
            <v>fj6hvelo1pm</v>
          </cell>
          <cell r="H235" t="str">
            <v>High Velocity VBC</v>
          </cell>
          <cell r="I235" t="str">
            <v>High Velocity 16's</v>
          </cell>
          <cell r="J235" t="str">
            <v>Power</v>
          </cell>
          <cell r="K235">
            <v>2535.2536812939006</v>
          </cell>
        </row>
        <row r="236">
          <cell r="G236" t="str">
            <v>fj6inten1pm</v>
          </cell>
          <cell r="H236" t="str">
            <v>Intense Volleyball</v>
          </cell>
          <cell r="I236" t="str">
            <v>Intense 16 Hyper Elite</v>
          </cell>
          <cell r="J236" t="str">
            <v>Power</v>
          </cell>
          <cell r="K236">
            <v>2628.2574952617479</v>
          </cell>
        </row>
        <row r="237">
          <cell r="G237" t="str">
            <v>fj6inten2pm</v>
          </cell>
          <cell r="H237" t="str">
            <v>Intense Volleyball</v>
          </cell>
          <cell r="I237" t="str">
            <v>Intense 16 Perf Columbia</v>
          </cell>
          <cell r="J237" t="str">
            <v>Power</v>
          </cell>
          <cell r="K237">
            <v>2453.989388007974</v>
          </cell>
        </row>
        <row r="238">
          <cell r="G238" t="str">
            <v>fj6inten5pm</v>
          </cell>
          <cell r="H238" t="str">
            <v>Intense Volleyball</v>
          </cell>
          <cell r="I238" t="str">
            <v>Intense 16 Elite Black RH</v>
          </cell>
          <cell r="J238" t="str">
            <v>Power</v>
          </cell>
          <cell r="K238">
            <v>2600</v>
          </cell>
        </row>
        <row r="239">
          <cell r="G239" t="str">
            <v>fj6inten6pm</v>
          </cell>
          <cell r="H239" t="str">
            <v>Intense Volleyball</v>
          </cell>
          <cell r="I239" t="str">
            <v>Intense 16 Elite Orange R</v>
          </cell>
          <cell r="J239" t="str">
            <v>Power</v>
          </cell>
          <cell r="K239">
            <v>2600</v>
          </cell>
        </row>
        <row r="240">
          <cell r="G240" t="str">
            <v>fj6islun1pm</v>
          </cell>
          <cell r="H240" t="str">
            <v>United</v>
          </cell>
          <cell r="I240" t="str">
            <v>United 16-1</v>
          </cell>
          <cell r="J240" t="str">
            <v>Power</v>
          </cell>
          <cell r="K240">
            <v>2600</v>
          </cell>
        </row>
        <row r="241">
          <cell r="G241" t="str">
            <v>fj6kersh1pm</v>
          </cell>
          <cell r="H241" t="str">
            <v>Kershaw County Juniors</v>
          </cell>
          <cell r="I241" t="str">
            <v>Kershaw 16 Black</v>
          </cell>
          <cell r="J241" t="str">
            <v>Power</v>
          </cell>
          <cell r="K241">
            <v>2600</v>
          </cell>
        </row>
        <row r="242">
          <cell r="G242" t="str">
            <v>fj6lakem1pm</v>
          </cell>
          <cell r="H242" t="str">
            <v>Lake Murray Volleyball Club</v>
          </cell>
          <cell r="I242" t="str">
            <v>Lake Murray 16 Red</v>
          </cell>
          <cell r="J242" t="str">
            <v>Power</v>
          </cell>
          <cell r="K242">
            <v>2642.1061403984222</v>
          </cell>
        </row>
        <row r="243">
          <cell r="G243" t="str">
            <v>fj6lowco1pm</v>
          </cell>
          <cell r="H243" t="str">
            <v>Low Country Volleyball Club</v>
          </cell>
          <cell r="I243" t="str">
            <v>Low Country 16 Power</v>
          </cell>
          <cell r="J243" t="str">
            <v>Power</v>
          </cell>
          <cell r="K243">
            <v>2521.6112649182251</v>
          </cell>
        </row>
        <row r="244">
          <cell r="G244" t="str">
            <v>fj6magnm1pm</v>
          </cell>
          <cell r="H244" t="str">
            <v>Magnum Volleyball Club</v>
          </cell>
          <cell r="I244" t="str">
            <v>Magnum 16 Mizuno</v>
          </cell>
          <cell r="J244" t="str">
            <v>Power</v>
          </cell>
          <cell r="K244">
            <v>2600</v>
          </cell>
        </row>
        <row r="245">
          <cell r="G245" t="str">
            <v>fj6magnm2pm</v>
          </cell>
          <cell r="H245" t="str">
            <v>Magnum Volleyball Club</v>
          </cell>
          <cell r="I245" t="str">
            <v>Magnum Aiken 16 Green</v>
          </cell>
          <cell r="J245" t="str">
            <v>Power</v>
          </cell>
          <cell r="K245">
            <v>2600</v>
          </cell>
        </row>
        <row r="246">
          <cell r="G246" t="str">
            <v>fj6motoj1pm</v>
          </cell>
          <cell r="H246" t="str">
            <v>MOTO</v>
          </cell>
          <cell r="I246" t="str">
            <v>MOTO 16 IGNITE</v>
          </cell>
          <cell r="J246" t="str">
            <v>Power</v>
          </cell>
          <cell r="K246">
            <v>2534.3306077253792</v>
          </cell>
        </row>
        <row r="247">
          <cell r="G247" t="str">
            <v>fj6motojdpm</v>
          </cell>
          <cell r="H247" t="str">
            <v>MOTO</v>
          </cell>
          <cell r="I247" t="str">
            <v>MOTO 16-2 IGNITE</v>
          </cell>
          <cell r="J247" t="str">
            <v>Power</v>
          </cell>
          <cell r="K247">
            <v>2430.3121523701575</v>
          </cell>
        </row>
        <row r="248">
          <cell r="G248" t="str">
            <v>fj6scmid1pm</v>
          </cell>
          <cell r="H248" t="str">
            <v>SC Midlands Volleyball</v>
          </cell>
          <cell r="I248" t="str">
            <v>SC Midlands 16 National</v>
          </cell>
          <cell r="J248" t="str">
            <v>Power</v>
          </cell>
          <cell r="K248">
            <v>2600</v>
          </cell>
        </row>
        <row r="249">
          <cell r="G249" t="str">
            <v>fj6scmid2pm</v>
          </cell>
          <cell r="H249" t="str">
            <v>SC Midlands Volleyball</v>
          </cell>
          <cell r="I249" t="str">
            <v>SC Midlands 16 Perf</v>
          </cell>
          <cell r="J249" t="str">
            <v>Power</v>
          </cell>
          <cell r="K249">
            <v>2600</v>
          </cell>
        </row>
        <row r="250">
          <cell r="G250" t="str">
            <v>fj6tlife1cr</v>
          </cell>
          <cell r="I250" t="str">
            <v>TLVC 16U</v>
          </cell>
          <cell r="J250" t="str">
            <v>Power</v>
          </cell>
          <cell r="K250">
            <v>2614.0741138246112</v>
          </cell>
        </row>
        <row r="251">
          <cell r="G251" t="str">
            <v>fj6upwrd1pm</v>
          </cell>
          <cell r="H251" t="str">
            <v>Upward Stars</v>
          </cell>
          <cell r="I251" t="str">
            <v>Upward Stars 16 Andrew</v>
          </cell>
          <cell r="J251" t="str">
            <v>Power</v>
          </cell>
          <cell r="K251">
            <v>2840.6890102224856</v>
          </cell>
        </row>
        <row r="252">
          <cell r="G252" t="str">
            <v>fj6upwrd2pm</v>
          </cell>
          <cell r="H252" t="str">
            <v>Upward Stars</v>
          </cell>
          <cell r="I252" t="str">
            <v>Upward Stars 16 Christina</v>
          </cell>
          <cell r="J252" t="str">
            <v>Power</v>
          </cell>
          <cell r="K252">
            <v>2600</v>
          </cell>
        </row>
        <row r="253">
          <cell r="G253" t="str">
            <v>fj6vison1pm</v>
          </cell>
          <cell r="H253" t="str">
            <v>Vision</v>
          </cell>
          <cell r="I253" t="str">
            <v>Vision 16-Erika &amp; Marissa</v>
          </cell>
          <cell r="J253" t="str">
            <v>Power</v>
          </cell>
          <cell r="K253">
            <v>2550.7095999075605</v>
          </cell>
        </row>
        <row r="254">
          <cell r="G254" t="str">
            <v>fj6pstri1pm</v>
          </cell>
          <cell r="H254" t="str">
            <v>Palmetto Strikers</v>
          </cell>
          <cell r="I254" t="str">
            <v>Palm Strikers 16 National</v>
          </cell>
          <cell r="J254" t="str">
            <v>Power</v>
          </cell>
          <cell r="K254">
            <v>2651.1345929277209</v>
          </cell>
        </row>
        <row r="255">
          <cell r="G255" t="str">
            <v>fj6beauf1pm</v>
          </cell>
          <cell r="H255" t="str">
            <v>Beaufort Volleyball Club</v>
          </cell>
          <cell r="I255" t="str">
            <v>Beaufort Sweet 16's</v>
          </cell>
          <cell r="J255" t="str">
            <v>Power</v>
          </cell>
          <cell r="K255">
            <v>2604.4583365042622</v>
          </cell>
        </row>
        <row r="256">
          <cell r="G256" t="str">
            <v>fj6csrah2pm</v>
          </cell>
          <cell r="H256" t="str">
            <v>CSRA Heat</v>
          </cell>
          <cell r="I256" t="str">
            <v>CSRA Heat 16 Gold</v>
          </cell>
          <cell r="J256" t="str">
            <v>Power</v>
          </cell>
          <cell r="K256">
            <v>2435.1163107014972</v>
          </cell>
        </row>
        <row r="257">
          <cell r="G257" t="str">
            <v>fj6hurrc1pm</v>
          </cell>
          <cell r="H257" t="str">
            <v>Hurricane Volleyball Club</v>
          </cell>
          <cell r="I257" t="str">
            <v>Hurricane VBC 16 Tsunami</v>
          </cell>
          <cell r="J257" t="str">
            <v>Power</v>
          </cell>
          <cell r="K257">
            <v>2367.8687365373366</v>
          </cell>
        </row>
        <row r="258">
          <cell r="G258" t="str">
            <v>fj6atown2pm</v>
          </cell>
          <cell r="H258" t="str">
            <v>ATown Volleyball Academy</v>
          </cell>
          <cell r="I258" t="str">
            <v>ATown 16 Orange Angela</v>
          </cell>
          <cell r="J258" t="str">
            <v>Power</v>
          </cell>
          <cell r="K258">
            <v>2400</v>
          </cell>
        </row>
        <row r="259">
          <cell r="G259" t="str">
            <v>fj6excel1pm</v>
          </cell>
          <cell r="H259" t="str">
            <v>Excell Sports</v>
          </cell>
          <cell r="I259" t="str">
            <v>Excell 16 2017</v>
          </cell>
          <cell r="J259" t="str">
            <v>Power</v>
          </cell>
          <cell r="K259">
            <v>2402.8944222193199</v>
          </cell>
        </row>
        <row r="260">
          <cell r="G260" t="str">
            <v>fj6kvcjr1pm</v>
          </cell>
          <cell r="H260" t="str">
            <v>KVC Jrs</v>
          </cell>
          <cell r="I260" t="str">
            <v>KVC 16</v>
          </cell>
          <cell r="J260" t="str">
            <v>Power</v>
          </cell>
          <cell r="K260">
            <v>2451.1169432151924</v>
          </cell>
        </row>
        <row r="261">
          <cell r="G261" t="str">
            <v>fj6pstri2pm</v>
          </cell>
          <cell r="H261" t="str">
            <v>Palmetto Strikers</v>
          </cell>
          <cell r="I261" t="str">
            <v>Palm Strikers 16 Platinum</v>
          </cell>
          <cell r="J261" t="str">
            <v>Power</v>
          </cell>
          <cell r="K261">
            <v>2480.5272461425175</v>
          </cell>
        </row>
        <row r="262">
          <cell r="G262" t="str">
            <v>fj6upwrd3pm</v>
          </cell>
          <cell r="H262" t="str">
            <v>Upward Stars</v>
          </cell>
          <cell r="I262" t="str">
            <v>Upward Stars 16 Taylor</v>
          </cell>
          <cell r="J262" t="str">
            <v>Power</v>
          </cell>
          <cell r="K262">
            <v>2400</v>
          </cell>
        </row>
        <row r="263">
          <cell r="G263" t="str">
            <v>fj6upwrd4pm</v>
          </cell>
          <cell r="H263" t="str">
            <v>Upward Stars</v>
          </cell>
          <cell r="I263" t="str">
            <v>Upward Stars 16 Tonja</v>
          </cell>
          <cell r="J263" t="str">
            <v>Power</v>
          </cell>
          <cell r="K263">
            <v>2400</v>
          </cell>
        </row>
        <row r="264">
          <cell r="G264" t="str">
            <v>fj6upwrd5pm</v>
          </cell>
          <cell r="H264" t="str">
            <v>Upward Stars</v>
          </cell>
          <cell r="I264" t="str">
            <v>Upward Stars 16 Mark C</v>
          </cell>
          <cell r="J264" t="str">
            <v>Power</v>
          </cell>
          <cell r="K264">
            <v>2400</v>
          </cell>
        </row>
        <row r="265">
          <cell r="G265" t="str">
            <v>fj6mbeac1pm</v>
          </cell>
          <cell r="H265" t="str">
            <v>MBVC</v>
          </cell>
          <cell r="I265" t="str">
            <v>MBVC 16 Red Todd</v>
          </cell>
          <cell r="J265" t="str">
            <v>Club</v>
          </cell>
          <cell r="K265">
            <v>2314.8207408110184</v>
          </cell>
        </row>
        <row r="266">
          <cell r="G266" t="str">
            <v>fj6atown1pm</v>
          </cell>
          <cell r="H266" t="str">
            <v>ATown Volleyball Academy</v>
          </cell>
          <cell r="I266" t="str">
            <v>ATown 16 Black</v>
          </cell>
          <cell r="J266" t="str">
            <v>Club</v>
          </cell>
          <cell r="K266">
            <v>2345.6284465465415</v>
          </cell>
        </row>
        <row r="267">
          <cell r="G267" t="str">
            <v>fj6ccoas1pm</v>
          </cell>
          <cell r="H267" t="str">
            <v>club coastal volleyball</v>
          </cell>
          <cell r="I267" t="str">
            <v>Club Coastal 16 White</v>
          </cell>
          <cell r="J267" t="str">
            <v>Club</v>
          </cell>
          <cell r="K267">
            <v>2330.3909835910367</v>
          </cell>
        </row>
        <row r="268">
          <cell r="G268" t="str">
            <v>fj6ladyc1pm</v>
          </cell>
          <cell r="H268" t="str">
            <v>Orangeburg Lady Cubs</v>
          </cell>
          <cell r="I268" t="str">
            <v>OLC 16s Purple</v>
          </cell>
          <cell r="J268" t="str">
            <v>Club</v>
          </cell>
          <cell r="K268">
            <v>2240</v>
          </cell>
        </row>
        <row r="269">
          <cell r="G269" t="str">
            <v>fj6aelit1pm</v>
          </cell>
          <cell r="H269" t="str">
            <v>Augusta Elite</v>
          </cell>
          <cell r="I269" t="str">
            <v>Augusta Elite 16 Fusion</v>
          </cell>
          <cell r="J269" t="str">
            <v>Club</v>
          </cell>
          <cell r="K269">
            <v>2229.6713187665032</v>
          </cell>
        </row>
        <row r="270">
          <cell r="G270" t="str">
            <v>fj6aelit2pm</v>
          </cell>
          <cell r="H270" t="str">
            <v>Augusta Elite</v>
          </cell>
          <cell r="I270" t="str">
            <v>Augusta Elite 16 Havoc</v>
          </cell>
          <cell r="J270" t="str">
            <v>Club</v>
          </cell>
          <cell r="K270">
            <v>2122.3031989403148</v>
          </cell>
        </row>
        <row r="271">
          <cell r="G271" t="str">
            <v>fj6celit1pm</v>
          </cell>
          <cell r="H271" t="str">
            <v>CHS Elite</v>
          </cell>
          <cell r="I271" t="str">
            <v>CHSElite 16-1</v>
          </cell>
          <cell r="J271" t="str">
            <v>Club</v>
          </cell>
          <cell r="K271">
            <v>2170.5044212207163</v>
          </cell>
        </row>
        <row r="272">
          <cell r="G272" t="str">
            <v>fj6crone3pm</v>
          </cell>
          <cell r="H272" t="str">
            <v>Carolina One</v>
          </cell>
          <cell r="I272" t="str">
            <v>C1VB 16 Regional Grvl</v>
          </cell>
          <cell r="J272" t="str">
            <v>Club</v>
          </cell>
          <cell r="K272">
            <v>2158.0851509034469</v>
          </cell>
        </row>
        <row r="273">
          <cell r="G273" t="str">
            <v>fj6hhbtc1pm</v>
          </cell>
          <cell r="H273" t="str">
            <v>HHI SHARKS</v>
          </cell>
          <cell r="I273" t="str">
            <v>HHI SHARKS 16U</v>
          </cell>
          <cell r="J273" t="str">
            <v>Club</v>
          </cell>
          <cell r="K273">
            <v>2259.2297058558725</v>
          </cell>
        </row>
        <row r="274">
          <cell r="G274" t="str">
            <v>fj6inten3pm</v>
          </cell>
          <cell r="H274" t="str">
            <v>Intense Volleyball</v>
          </cell>
          <cell r="I274" t="str">
            <v>Intense 16 Region Columb</v>
          </cell>
          <cell r="J274" t="str">
            <v>Club</v>
          </cell>
          <cell r="K274">
            <v>2200</v>
          </cell>
        </row>
        <row r="275">
          <cell r="G275" t="str">
            <v>fj6inten4pm</v>
          </cell>
          <cell r="H275" t="str">
            <v>Intense Volleyball</v>
          </cell>
          <cell r="I275" t="str">
            <v>Intense 16 Region Rock H</v>
          </cell>
          <cell r="J275" t="str">
            <v>Club</v>
          </cell>
          <cell r="K275">
            <v>2200</v>
          </cell>
        </row>
        <row r="276">
          <cell r="G276" t="str">
            <v>fj6kersh2pm</v>
          </cell>
          <cell r="H276" t="str">
            <v>Kershaw County Juniors</v>
          </cell>
          <cell r="I276" t="str">
            <v>Kershaw 16 White</v>
          </cell>
          <cell r="J276" t="str">
            <v>Club</v>
          </cell>
          <cell r="K276">
            <v>2200</v>
          </cell>
        </row>
        <row r="277">
          <cell r="G277" t="str">
            <v>fj6lakem2pm</v>
          </cell>
          <cell r="H277" t="str">
            <v>Lake Murray Volleyball Club</v>
          </cell>
          <cell r="I277" t="str">
            <v>Lake Murray 16 Black</v>
          </cell>
          <cell r="J277" t="str">
            <v>Club</v>
          </cell>
          <cell r="K277">
            <v>2272.6437666154325</v>
          </cell>
        </row>
        <row r="278">
          <cell r="G278" t="str">
            <v>fj6scmid3pm</v>
          </cell>
          <cell r="H278" t="str">
            <v>SC Midlands Volleyball</v>
          </cell>
          <cell r="I278" t="str">
            <v>SC Midlands 16 Black</v>
          </cell>
          <cell r="J278" t="str">
            <v>Club</v>
          </cell>
          <cell r="K278">
            <v>2200</v>
          </cell>
        </row>
        <row r="279">
          <cell r="G279" t="str">
            <v>fj6scwea1pm</v>
          </cell>
          <cell r="H279" t="str">
            <v>SCWE</v>
          </cell>
          <cell r="I279" t="str">
            <v>SCWE16RAPTORS</v>
          </cell>
          <cell r="J279" t="str">
            <v>Club</v>
          </cell>
          <cell r="K279">
            <v>2200</v>
          </cell>
        </row>
        <row r="280">
          <cell r="G280" t="str">
            <v>fj6vonea1pm</v>
          </cell>
          <cell r="H280" t="str">
            <v>VolleyOne</v>
          </cell>
          <cell r="I280" t="str">
            <v>VolleyOneAcademy 16-Amy</v>
          </cell>
          <cell r="J280" t="str">
            <v>Club</v>
          </cell>
          <cell r="K280">
            <v>2200</v>
          </cell>
        </row>
        <row r="281">
          <cell r="G281" t="str">
            <v>fj7c4vb11pm</v>
          </cell>
          <cell r="H281" t="str">
            <v>C4</v>
          </cell>
          <cell r="I281" t="str">
            <v>C4 17U Elite Ron</v>
          </cell>
          <cell r="J281" t="str">
            <v>Power</v>
          </cell>
          <cell r="K281">
            <v>2800</v>
          </cell>
        </row>
        <row r="282">
          <cell r="G282" t="str">
            <v>fj7caris1pm</v>
          </cell>
          <cell r="H282" t="str">
            <v>Carolina Islanders</v>
          </cell>
          <cell r="I282" t="str">
            <v>Car. Islanders 17 Power</v>
          </cell>
          <cell r="J282" t="str">
            <v>Power</v>
          </cell>
          <cell r="K282">
            <v>2800</v>
          </cell>
        </row>
        <row r="283">
          <cell r="G283" t="str">
            <v>fj7charl1pm</v>
          </cell>
          <cell r="H283" t="str">
            <v>Charleston Juniors</v>
          </cell>
          <cell r="I283" t="str">
            <v>Chas Jrs 17 College Prep</v>
          </cell>
          <cell r="J283" t="str">
            <v>Power</v>
          </cell>
          <cell r="K283">
            <v>2973.4736131947657</v>
          </cell>
        </row>
        <row r="284">
          <cell r="G284" t="str">
            <v>fj7cpeak1cr</v>
          </cell>
          <cell r="I284" t="str">
            <v>Carolina Peak 17 Kathryn</v>
          </cell>
          <cell r="J284" t="str">
            <v>Power</v>
          </cell>
          <cell r="K284">
            <v>2766.2528151956494</v>
          </cell>
        </row>
        <row r="285">
          <cell r="G285" t="str">
            <v>fj7crchv1cr</v>
          </cell>
          <cell r="I285" t="str">
            <v>Carolina Chaos 17-1</v>
          </cell>
          <cell r="J285" t="str">
            <v>Power</v>
          </cell>
          <cell r="K285">
            <v>2723.786117369797</v>
          </cell>
        </row>
        <row r="286">
          <cell r="G286" t="str">
            <v>fj7crosf1pm</v>
          </cell>
          <cell r="H286" t="str">
            <v>Crossfire Volleyball</v>
          </cell>
          <cell r="I286" t="str">
            <v>Crossfire 17 Power</v>
          </cell>
          <cell r="J286" t="str">
            <v>Power</v>
          </cell>
          <cell r="K286">
            <v>2754.6049256265082</v>
          </cell>
        </row>
        <row r="287">
          <cell r="G287" t="str">
            <v>fj7csrah1pm</v>
          </cell>
          <cell r="H287" t="str">
            <v>CSRA Heat</v>
          </cell>
          <cell r="I287" t="str">
            <v>CSRA Heat 17 National</v>
          </cell>
          <cell r="J287" t="str">
            <v>Power</v>
          </cell>
          <cell r="K287">
            <v>2861.234669416272</v>
          </cell>
        </row>
        <row r="288">
          <cell r="G288" t="str">
            <v>fj7ecity1pm</v>
          </cell>
          <cell r="H288" t="str">
            <v>Emerald City</v>
          </cell>
          <cell r="I288" t="str">
            <v>Emerald City 17-Power</v>
          </cell>
          <cell r="J288" t="str">
            <v>Power</v>
          </cell>
          <cell r="K288">
            <v>2706.2787039991958</v>
          </cell>
        </row>
        <row r="289">
          <cell r="G289" t="str">
            <v>fj7ecvc72cr</v>
          </cell>
          <cell r="I289" t="str">
            <v>Elite Charger Volleyball</v>
          </cell>
          <cell r="J289" t="str">
            <v>Power</v>
          </cell>
          <cell r="K289">
            <v>2765.9984255776917</v>
          </cell>
        </row>
        <row r="290">
          <cell r="G290" t="str">
            <v>fj7grand1pm</v>
          </cell>
          <cell r="H290" t="str">
            <v>GRAND STRAND JUNIORS VOLLEYBALL</v>
          </cell>
          <cell r="I290" t="str">
            <v>GSJ 17 National Steve</v>
          </cell>
          <cell r="J290" t="str">
            <v>Power</v>
          </cell>
          <cell r="K290">
            <v>2800</v>
          </cell>
        </row>
        <row r="291">
          <cell r="G291" t="str">
            <v>fj7hurrc1pm</v>
          </cell>
          <cell r="H291" t="str">
            <v>Hurricane Volleyball Club</v>
          </cell>
          <cell r="I291" t="str">
            <v>Hurricane VBC 17 Cyclones</v>
          </cell>
          <cell r="J291" t="str">
            <v>Power</v>
          </cell>
          <cell r="K291">
            <v>2863.4119766884087</v>
          </cell>
        </row>
        <row r="292">
          <cell r="G292" t="str">
            <v>fj7hurrc2pm</v>
          </cell>
          <cell r="H292" t="str">
            <v>Hurricane Volleyball Club</v>
          </cell>
          <cell r="I292" t="str">
            <v>Hurricane VBC 17 Typhoon</v>
          </cell>
          <cell r="J292" t="str">
            <v>Power</v>
          </cell>
          <cell r="K292">
            <v>2821.4378785123886</v>
          </cell>
        </row>
        <row r="293">
          <cell r="G293" t="str">
            <v>fj7inten1pm</v>
          </cell>
          <cell r="H293" t="str">
            <v>Intense Volleyball</v>
          </cell>
          <cell r="I293" t="str">
            <v>Intense 17 Perf RH</v>
          </cell>
          <cell r="J293" t="str">
            <v>Power</v>
          </cell>
          <cell r="K293">
            <v>2662.8923313239829</v>
          </cell>
        </row>
        <row r="294">
          <cell r="G294" t="str">
            <v>fj7lakem1pm</v>
          </cell>
          <cell r="H294" t="str">
            <v>Lake Murray Volleyball Club</v>
          </cell>
          <cell r="I294" t="str">
            <v>Lake Murray 17 Red</v>
          </cell>
          <cell r="J294" t="str">
            <v>Power</v>
          </cell>
          <cell r="K294">
            <v>2775.1107645117636</v>
          </cell>
        </row>
        <row r="295">
          <cell r="G295" t="str">
            <v>fj7magnm1pm</v>
          </cell>
          <cell r="H295" t="str">
            <v>Magnum Volleyball Club</v>
          </cell>
          <cell r="I295" t="str">
            <v>Magnum 17 Mizuno</v>
          </cell>
          <cell r="J295" t="str">
            <v>Power</v>
          </cell>
          <cell r="K295">
            <v>2800</v>
          </cell>
        </row>
        <row r="296">
          <cell r="G296" t="str">
            <v>fj7magnm2pm</v>
          </cell>
          <cell r="H296" t="str">
            <v>Magnum Volleyball Club</v>
          </cell>
          <cell r="I296" t="str">
            <v>Magnum 17 Elite</v>
          </cell>
          <cell r="J296" t="str">
            <v>Power</v>
          </cell>
          <cell r="K296">
            <v>2800</v>
          </cell>
        </row>
        <row r="297">
          <cell r="G297" t="str">
            <v>fj7motoj1pm</v>
          </cell>
          <cell r="H297" t="str">
            <v>MOTO</v>
          </cell>
          <cell r="I297" t="str">
            <v>MOTO 17 IGNITE</v>
          </cell>
          <cell r="J297" t="str">
            <v>Power</v>
          </cell>
          <cell r="K297">
            <v>2696.2480007280747</v>
          </cell>
        </row>
        <row r="298">
          <cell r="G298" t="str">
            <v>fj7pstri1pm</v>
          </cell>
          <cell r="H298" t="str">
            <v>Palmetto Strikers</v>
          </cell>
          <cell r="I298" t="str">
            <v>Palm Strikers 17 National</v>
          </cell>
          <cell r="J298" t="str">
            <v>Power</v>
          </cell>
          <cell r="K298">
            <v>2844.5024511436382</v>
          </cell>
        </row>
        <row r="299">
          <cell r="G299" t="str">
            <v>fj7scmid1pm</v>
          </cell>
          <cell r="H299" t="str">
            <v>SC Midlands Volleyball</v>
          </cell>
          <cell r="I299" t="str">
            <v>SC Midlands 17 National C</v>
          </cell>
          <cell r="J299" t="str">
            <v>Power</v>
          </cell>
          <cell r="K299">
            <v>2800</v>
          </cell>
        </row>
        <row r="300">
          <cell r="G300" t="str">
            <v>fj7scmid2pm</v>
          </cell>
          <cell r="H300" t="str">
            <v>SC Midlands Volleyball</v>
          </cell>
          <cell r="I300" t="str">
            <v>SC Midlands 17 National G</v>
          </cell>
          <cell r="J300" t="str">
            <v>Power</v>
          </cell>
          <cell r="K300">
            <v>2800</v>
          </cell>
        </row>
        <row r="301">
          <cell r="G301" t="str">
            <v>fj7sumtr1pm</v>
          </cell>
          <cell r="H301" t="str">
            <v>Sumter VBC</v>
          </cell>
          <cell r="I301" t="str">
            <v>Sumter 17 Heath</v>
          </cell>
          <cell r="J301" t="str">
            <v>Power</v>
          </cell>
          <cell r="K301">
            <v>2802.3886420389995</v>
          </cell>
        </row>
        <row r="302">
          <cell r="G302" t="str">
            <v>fj7upsvc1pm</v>
          </cell>
          <cell r="H302" t="str">
            <v>Upstate Volleyball Club</v>
          </cell>
          <cell r="I302" t="str">
            <v>Upstate 17-1 National</v>
          </cell>
          <cell r="J302" t="str">
            <v>Power</v>
          </cell>
          <cell r="K302">
            <v>2845.1085264971489</v>
          </cell>
        </row>
        <row r="303">
          <cell r="G303" t="str">
            <v>fj7upwrd3pm</v>
          </cell>
          <cell r="H303" t="str">
            <v>Upward Stars</v>
          </cell>
          <cell r="I303" t="str">
            <v>Upward Stars 17 Brandon</v>
          </cell>
          <cell r="J303" t="str">
            <v>Power</v>
          </cell>
          <cell r="K303">
            <v>2885.9737041923854</v>
          </cell>
        </row>
        <row r="304">
          <cell r="G304" t="str">
            <v>fj7ccoas1pm</v>
          </cell>
          <cell r="H304" t="str">
            <v>club coastal volleyball</v>
          </cell>
          <cell r="I304" t="str">
            <v>Club Coastal 17 Blue</v>
          </cell>
          <cell r="J304" t="str">
            <v>Power</v>
          </cell>
          <cell r="K304">
            <v>2797.9208619773253</v>
          </cell>
        </row>
        <row r="305">
          <cell r="G305" t="str">
            <v>fj7prage1pm</v>
          </cell>
          <cell r="H305" t="str">
            <v>Palmetto Rage Volleyball Club</v>
          </cell>
          <cell r="I305" t="str">
            <v>PRV 17U Alicia</v>
          </cell>
          <cell r="J305" t="str">
            <v>Power</v>
          </cell>
          <cell r="K305">
            <v>2752.8864457613686</v>
          </cell>
        </row>
        <row r="306">
          <cell r="G306" t="str">
            <v>fj7upwrd2pm</v>
          </cell>
          <cell r="H306" t="str">
            <v>Upward Stars</v>
          </cell>
          <cell r="I306" t="str">
            <v>Upward Stars 17 Kara</v>
          </cell>
          <cell r="J306" t="str">
            <v>Power</v>
          </cell>
          <cell r="K306">
            <v>2700</v>
          </cell>
        </row>
        <row r="307">
          <cell r="G307" t="str">
            <v>fj7atown1pm</v>
          </cell>
          <cell r="H307" t="str">
            <v>ATown Volleyball Academy</v>
          </cell>
          <cell r="I307" t="str">
            <v>ATown 17 Black</v>
          </cell>
          <cell r="J307" t="str">
            <v>Club</v>
          </cell>
          <cell r="K307">
            <v>2541.3291547953268</v>
          </cell>
        </row>
        <row r="308">
          <cell r="G308" t="str">
            <v>fj7beauf1pm</v>
          </cell>
          <cell r="H308" t="str">
            <v>Beaufort Volleyball Club</v>
          </cell>
          <cell r="I308" t="str">
            <v>Beaufort Seventeens</v>
          </cell>
          <cell r="J308" t="str">
            <v>Club</v>
          </cell>
          <cell r="K308">
            <v>2525.1096133091269</v>
          </cell>
        </row>
        <row r="309">
          <cell r="G309" t="str">
            <v>fj7csrah2pm</v>
          </cell>
          <cell r="H309" t="str">
            <v>CSRA Heat</v>
          </cell>
          <cell r="I309" t="str">
            <v>CSRA Heat 17 Gold</v>
          </cell>
          <cell r="J309" t="str">
            <v>Club</v>
          </cell>
          <cell r="K309">
            <v>2416.330453389638</v>
          </cell>
        </row>
        <row r="310">
          <cell r="G310" t="str">
            <v>fj7footh1pm</v>
          </cell>
          <cell r="H310" t="str">
            <v>Foothills Volleyball Club</v>
          </cell>
          <cell r="I310" t="str">
            <v>Foothills 17 Matt</v>
          </cell>
          <cell r="J310" t="str">
            <v>Club</v>
          </cell>
          <cell r="K310">
            <v>2438.5335285909896</v>
          </cell>
        </row>
        <row r="311">
          <cell r="G311" t="str">
            <v>fj7scmid3pm</v>
          </cell>
          <cell r="H311" t="str">
            <v>SC Midlands Volleyball</v>
          </cell>
          <cell r="I311" t="str">
            <v>SC Midlands 17 Black</v>
          </cell>
          <cell r="J311" t="str">
            <v>Club</v>
          </cell>
          <cell r="K311">
            <v>2400</v>
          </cell>
        </row>
        <row r="312">
          <cell r="G312" t="str">
            <v>fj7sumtr2pm</v>
          </cell>
          <cell r="H312" t="str">
            <v>Sumter VBC</v>
          </cell>
          <cell r="I312" t="str">
            <v>Sumter VBC 17-2</v>
          </cell>
          <cell r="J312" t="str">
            <v>Club</v>
          </cell>
          <cell r="K312">
            <v>2400</v>
          </cell>
        </row>
        <row r="313">
          <cell r="G313" t="str">
            <v>fj7vonea1pm</v>
          </cell>
          <cell r="H313" t="str">
            <v>VolleyOne</v>
          </cell>
          <cell r="I313" t="str">
            <v>VolleyOneAcademy 17-Jon</v>
          </cell>
          <cell r="J313" t="str">
            <v>Club</v>
          </cell>
          <cell r="K313">
            <v>2400</v>
          </cell>
        </row>
        <row r="314">
          <cell r="G314" t="str">
            <v>fj8branc2pm</v>
          </cell>
          <cell r="H314" t="str">
            <v>Branchville Juniors</v>
          </cell>
          <cell r="I314" t="str">
            <v>Branchville Jrs 18U Pink</v>
          </cell>
          <cell r="J314" t="str">
            <v>Power</v>
          </cell>
          <cell r="K314">
            <v>3000</v>
          </cell>
        </row>
        <row r="315">
          <cell r="G315" t="str">
            <v>fj8caris1pm</v>
          </cell>
          <cell r="H315" t="str">
            <v>Carolina Islanders</v>
          </cell>
          <cell r="I315" t="str">
            <v>Car. Islanders 18 Elite</v>
          </cell>
          <cell r="J315" t="str">
            <v>Power</v>
          </cell>
          <cell r="K315">
            <v>3000</v>
          </cell>
        </row>
        <row r="316">
          <cell r="G316" t="str">
            <v>fj8charl1pm</v>
          </cell>
          <cell r="H316" t="str">
            <v>Charleston Juniors</v>
          </cell>
          <cell r="I316" t="str">
            <v>Chas Jrs 18 Red</v>
          </cell>
          <cell r="J316" t="str">
            <v>Power</v>
          </cell>
          <cell r="K316">
            <v>2931.3411210443674</v>
          </cell>
        </row>
        <row r="317">
          <cell r="G317" t="str">
            <v>fj8crchv1cr</v>
          </cell>
          <cell r="I317" t="str">
            <v>Carolina Chaos 18</v>
          </cell>
          <cell r="J317" t="str">
            <v>Power</v>
          </cell>
          <cell r="K317">
            <v>2905.1897231891221</v>
          </cell>
        </row>
        <row r="318">
          <cell r="G318" t="str">
            <v>fj8crone1pm</v>
          </cell>
          <cell r="H318" t="str">
            <v>Carolina One</v>
          </cell>
          <cell r="I318" t="str">
            <v>C1VB 18 National</v>
          </cell>
          <cell r="J318" t="str">
            <v>Power</v>
          </cell>
          <cell r="K318">
            <v>2948.6084253075928</v>
          </cell>
        </row>
        <row r="319">
          <cell r="G319" t="str">
            <v>fj8grand1pm</v>
          </cell>
          <cell r="H319" t="str">
            <v>GRAND STRAND JUNIORS VOLLEYBALL</v>
          </cell>
          <cell r="I319" t="str">
            <v>GSJ 18 National Larry</v>
          </cell>
          <cell r="J319" t="str">
            <v>Power</v>
          </cell>
          <cell r="K319">
            <v>3000</v>
          </cell>
        </row>
        <row r="320">
          <cell r="G320" t="str">
            <v>fj8hurrc1pm</v>
          </cell>
          <cell r="H320" t="str">
            <v>Hurricane Volleyball Club</v>
          </cell>
          <cell r="I320" t="str">
            <v>Hurricane VBC 18 Storm</v>
          </cell>
          <cell r="J320" t="str">
            <v>Power</v>
          </cell>
          <cell r="K320">
            <v>2926.6317320617309</v>
          </cell>
        </row>
        <row r="321">
          <cell r="G321" t="str">
            <v>fj8kc11j1pm</v>
          </cell>
          <cell r="H321" t="str">
            <v>KC11 Volleyball Club</v>
          </cell>
          <cell r="I321" t="str">
            <v>KC11 18's</v>
          </cell>
          <cell r="J321" t="str">
            <v>Power</v>
          </cell>
          <cell r="K321">
            <v>3032.3841640874152</v>
          </cell>
        </row>
        <row r="322">
          <cell r="G322" t="str">
            <v>fj8lakem1pm</v>
          </cell>
          <cell r="H322" t="str">
            <v>Lake Murray Volleyball Club</v>
          </cell>
          <cell r="I322" t="str">
            <v>Lake Murray 18 Red</v>
          </cell>
          <cell r="J322" t="str">
            <v>Power</v>
          </cell>
          <cell r="K322">
            <v>3046.1529835455331</v>
          </cell>
        </row>
        <row r="323">
          <cell r="G323" t="str">
            <v>fj8lowco1pm</v>
          </cell>
          <cell r="H323" t="str">
            <v>Low Country Volleyball Club</v>
          </cell>
          <cell r="I323" t="str">
            <v>Low Country 18 National</v>
          </cell>
          <cell r="J323" t="str">
            <v>Power</v>
          </cell>
          <cell r="K323">
            <v>2935.1707127088944</v>
          </cell>
        </row>
        <row r="324">
          <cell r="G324" t="str">
            <v>fj8magnm1pm</v>
          </cell>
          <cell r="H324" t="str">
            <v>Magnum Volleyball Club</v>
          </cell>
          <cell r="I324" t="str">
            <v>Magnum 18 Mizuno</v>
          </cell>
          <cell r="J324" t="str">
            <v>Power</v>
          </cell>
          <cell r="K324">
            <v>3000</v>
          </cell>
        </row>
        <row r="325">
          <cell r="G325" t="str">
            <v>fj8magnm2pm</v>
          </cell>
          <cell r="H325" t="str">
            <v>Magnum Volleyball Club</v>
          </cell>
          <cell r="I325" t="str">
            <v>Magnum Aiken 18 Green</v>
          </cell>
          <cell r="J325" t="str">
            <v>Power</v>
          </cell>
          <cell r="K325">
            <v>3000</v>
          </cell>
        </row>
        <row r="326">
          <cell r="G326" t="str">
            <v>fj8mtnel1pm</v>
          </cell>
          <cell r="H326" t="str">
            <v>Mountain Elite Volleyball Club</v>
          </cell>
          <cell r="I326" t="str">
            <v>MEVC18Hannah</v>
          </cell>
          <cell r="J326" t="str">
            <v>Power</v>
          </cell>
          <cell r="K326">
            <v>2883.1952269491931</v>
          </cell>
        </row>
        <row r="327">
          <cell r="G327" t="str">
            <v>fj8mvpjc1pm</v>
          </cell>
          <cell r="H327" t="str">
            <v>MVP</v>
          </cell>
          <cell r="I327" t="str">
            <v>MVP 18-Gold</v>
          </cell>
          <cell r="J327" t="str">
            <v>Power</v>
          </cell>
          <cell r="K327">
            <v>3000</v>
          </cell>
        </row>
        <row r="328">
          <cell r="G328" t="str">
            <v>fj8tlife1cr</v>
          </cell>
          <cell r="I328" t="str">
            <v>TLVC 18U</v>
          </cell>
          <cell r="J328" t="str">
            <v>Power</v>
          </cell>
          <cell r="K328">
            <v>3011.2870081310043</v>
          </cell>
        </row>
        <row r="329">
          <cell r="G329" t="str">
            <v>fj8upsvc1pm</v>
          </cell>
          <cell r="H329" t="str">
            <v>Upstate Volleyball Club</v>
          </cell>
          <cell r="I329" t="str">
            <v>Upstate 18-1</v>
          </cell>
          <cell r="J329" t="str">
            <v>Power</v>
          </cell>
          <cell r="K329">
            <v>3073.5430014703875</v>
          </cell>
        </row>
        <row r="330">
          <cell r="G330" t="str">
            <v>fj8upsvc2pm</v>
          </cell>
          <cell r="H330" t="str">
            <v>Upstate Volleyball Club</v>
          </cell>
          <cell r="I330" t="str">
            <v>Upstate 18-2</v>
          </cell>
          <cell r="J330" t="str">
            <v>Power</v>
          </cell>
          <cell r="K330">
            <v>2827.8864358589581</v>
          </cell>
        </row>
        <row r="331">
          <cell r="G331" t="str">
            <v>fj8scmid1pm</v>
          </cell>
          <cell r="H331" t="str">
            <v>SC Midlands Volleyball</v>
          </cell>
          <cell r="I331" t="str">
            <v>SC Midlands 18 Perf</v>
          </cell>
          <cell r="J331" t="str">
            <v>Power</v>
          </cell>
          <cell r="K331">
            <v>2920</v>
          </cell>
        </row>
        <row r="332">
          <cell r="G332" t="str">
            <v>fj8ladyc1pm</v>
          </cell>
          <cell r="H332" t="str">
            <v>Orangeburg Lady Cubs</v>
          </cell>
          <cell r="I332" t="str">
            <v>OLC 18's Purple</v>
          </cell>
          <cell r="J332" t="str">
            <v>Power</v>
          </cell>
          <cell r="K332">
            <v>2901.9683293212579</v>
          </cell>
        </row>
        <row r="333">
          <cell r="G333" t="str">
            <v>fj8starl1pm</v>
          </cell>
          <cell r="H333" t="str">
            <v>Columbia SC Starlings</v>
          </cell>
          <cell r="I333" t="str">
            <v>Columbia SC Starlings 18</v>
          </cell>
          <cell r="J333" t="str">
            <v>Power</v>
          </cell>
          <cell r="K333">
            <v>2800</v>
          </cell>
        </row>
        <row r="334">
          <cell r="G334" t="str">
            <v>fj8actvb1od</v>
          </cell>
          <cell r="I334" t="str">
            <v>Active 18 Black</v>
          </cell>
          <cell r="J334" t="str">
            <v>Club</v>
          </cell>
          <cell r="K334">
            <v>2602.9185670807669</v>
          </cell>
        </row>
        <row r="335">
          <cell r="G335" t="str">
            <v>fj8aelit1pm</v>
          </cell>
          <cell r="H335" t="str">
            <v>Augusta Elite</v>
          </cell>
          <cell r="I335" t="str">
            <v>Augusta Elite 18 Fury</v>
          </cell>
          <cell r="J335" t="str">
            <v>Club</v>
          </cell>
          <cell r="K335">
            <v>2574.5250405208717</v>
          </cell>
        </row>
        <row r="336">
          <cell r="G336" t="str">
            <v>fj8branc3pm</v>
          </cell>
          <cell r="H336" t="str">
            <v>Branchville Juniors</v>
          </cell>
          <cell r="I336" t="str">
            <v>Branchville Juniors 18U</v>
          </cell>
          <cell r="J336" t="str">
            <v>Club</v>
          </cell>
          <cell r="K336">
            <v>2557.8851549220831</v>
          </cell>
        </row>
        <row r="337">
          <cell r="G337" t="str">
            <v>fj8celit1pm</v>
          </cell>
          <cell r="H337" t="str">
            <v>CHS Elite</v>
          </cell>
          <cell r="I337" t="str">
            <v>CHSElite 18-1</v>
          </cell>
          <cell r="J337" t="str">
            <v>Club</v>
          </cell>
          <cell r="K337">
            <v>2514.7294899987492</v>
          </cell>
        </row>
        <row r="338">
          <cell r="G338" t="str">
            <v>fj8psvbc1cr</v>
          </cell>
          <cell r="I338" t="str">
            <v>Palmetto Starlings  18-1</v>
          </cell>
          <cell r="J338" t="str">
            <v>Club</v>
          </cell>
          <cell r="K338">
            <v>2475.4152379667557</v>
          </cell>
        </row>
        <row r="339">
          <cell r="G339" t="str">
            <v>fj8sandh1pm</v>
          </cell>
          <cell r="H339" t="str">
            <v>Sandhills Volleyball Club</v>
          </cell>
          <cell r="I339" t="str">
            <v>SVBC Blazers 18</v>
          </cell>
          <cell r="J339" t="str">
            <v>Club</v>
          </cell>
          <cell r="K339">
            <v>2553.2237594256922</v>
          </cell>
        </row>
        <row r="340">
          <cell r="G340" t="str">
            <v>fj8sumtr1pm</v>
          </cell>
          <cell r="H340" t="str">
            <v>Sumter VBC</v>
          </cell>
          <cell r="I340" t="str">
            <v>Sumter VBC 18</v>
          </cell>
          <cell r="J340" t="str">
            <v>Club</v>
          </cell>
          <cell r="K340">
            <v>2600</v>
          </cell>
        </row>
        <row r="342">
          <cell r="G342" t="str">
            <v>fj2biltm1cr</v>
          </cell>
          <cell r="I342" t="str">
            <v>BVA 12 Black</v>
          </cell>
          <cell r="J342" t="str">
            <v>Club</v>
          </cell>
          <cell r="K342">
            <v>1400</v>
          </cell>
        </row>
        <row r="343">
          <cell r="G343" t="str">
            <v>fj2biltm2cr</v>
          </cell>
          <cell r="I343" t="str">
            <v>BVA 12 White</v>
          </cell>
          <cell r="J343" t="str">
            <v>Club</v>
          </cell>
          <cell r="K343">
            <v>1400</v>
          </cell>
        </row>
        <row r="344">
          <cell r="G344" t="str">
            <v>fj3biltm1cr</v>
          </cell>
          <cell r="I344" t="str">
            <v>BVA 13 Black</v>
          </cell>
          <cell r="J344" t="str">
            <v>Club</v>
          </cell>
          <cell r="K344">
            <v>1600</v>
          </cell>
        </row>
        <row r="345">
          <cell r="G345" t="str">
            <v>fj3biltm2cr</v>
          </cell>
          <cell r="I345" t="str">
            <v>BVA 13 White</v>
          </cell>
          <cell r="J345" t="str">
            <v>Club</v>
          </cell>
          <cell r="K345">
            <v>1600</v>
          </cell>
        </row>
        <row r="346">
          <cell r="G346" t="str">
            <v>fj3extvb1so</v>
          </cell>
          <cell r="I346" t="str">
            <v>Extreme 13-1</v>
          </cell>
          <cell r="J346" t="str">
            <v>Club</v>
          </cell>
          <cell r="K346">
            <v>1600</v>
          </cell>
        </row>
        <row r="347">
          <cell r="G347" t="str">
            <v>fj3tlife1cr</v>
          </cell>
          <cell r="I347" t="str">
            <v>TLVC 13U Black</v>
          </cell>
          <cell r="J347" t="str">
            <v>Club</v>
          </cell>
          <cell r="K347">
            <v>1600</v>
          </cell>
        </row>
        <row r="348">
          <cell r="G348" t="str">
            <v>fj3tlife2cr</v>
          </cell>
          <cell r="I348" t="str">
            <v>TLVC 13U Yellow</v>
          </cell>
          <cell r="J348" t="str">
            <v>Club</v>
          </cell>
          <cell r="K348">
            <v>1600</v>
          </cell>
        </row>
        <row r="349">
          <cell r="G349" t="str">
            <v>fj3biltm3cr</v>
          </cell>
          <cell r="I349" t="str">
            <v>BVA 13 Purple</v>
          </cell>
          <cell r="J349" t="str">
            <v>Club</v>
          </cell>
          <cell r="K349">
            <v>1600</v>
          </cell>
        </row>
        <row r="350">
          <cell r="G350" t="str">
            <v>fj3mtxej1cr</v>
          </cell>
          <cell r="I350" t="str">
            <v>Shockers 13-1</v>
          </cell>
          <cell r="J350" t="str">
            <v>Club</v>
          </cell>
          <cell r="K350">
            <v>1600</v>
          </cell>
        </row>
        <row r="351">
          <cell r="G351" t="str">
            <v>fj3ptvbc1so</v>
          </cell>
          <cell r="I351" t="str">
            <v>P31 13-1</v>
          </cell>
          <cell r="J351" t="str">
            <v>Club</v>
          </cell>
          <cell r="K351">
            <v>1600</v>
          </cell>
        </row>
        <row r="352">
          <cell r="G352" t="str">
            <v>fj4biltm2cr</v>
          </cell>
          <cell r="I352" t="str">
            <v>BVA 14 Black</v>
          </cell>
          <cell r="J352" t="str">
            <v>Club</v>
          </cell>
          <cell r="K352">
            <v>1800</v>
          </cell>
        </row>
        <row r="353">
          <cell r="G353" t="str">
            <v>fj4chovb1so</v>
          </cell>
          <cell r="I353" t="str">
            <v>CHOSEN 14-1</v>
          </cell>
          <cell r="J353" t="str">
            <v>Club</v>
          </cell>
          <cell r="K353">
            <v>1800</v>
          </cell>
        </row>
        <row r="354">
          <cell r="G354" t="str">
            <v>fj4biltm1cr</v>
          </cell>
          <cell r="I354" t="str">
            <v>BVA 14N</v>
          </cell>
          <cell r="J354" t="str">
            <v>Power</v>
          </cell>
          <cell r="K354">
            <v>2288.9906609979612</v>
          </cell>
        </row>
        <row r="356">
          <cell r="G356" t="str">
            <v>fj6cpeak1cr</v>
          </cell>
          <cell r="I356" t="str">
            <v>Carolina Peak 16 Concord</v>
          </cell>
          <cell r="J356" t="str">
            <v>Power</v>
          </cell>
          <cell r="K356">
            <v>2600</v>
          </cell>
        </row>
        <row r="357">
          <cell r="G357" t="str">
            <v>fj7triex2so</v>
          </cell>
          <cell r="I357" t="str">
            <v>TEV 17 Gary</v>
          </cell>
          <cell r="J357" t="str">
            <v>Club</v>
          </cell>
          <cell r="K357">
            <v>2400</v>
          </cell>
        </row>
        <row r="358">
          <cell r="G358" t="str">
            <v>fj7carun4cr</v>
          </cell>
          <cell r="I358" t="str">
            <v>CUVC 17 White</v>
          </cell>
          <cell r="J358" t="str">
            <v>Club</v>
          </cell>
          <cell r="K358">
            <v>2400</v>
          </cell>
        </row>
        <row r="360">
          <cell r="G360" t="str">
            <v>fj8carun3cr</v>
          </cell>
          <cell r="I360" t="str">
            <v>CUVC 18 Orange</v>
          </cell>
          <cell r="J360" t="str">
            <v>Club</v>
          </cell>
          <cell r="K360">
            <v>2600</v>
          </cell>
        </row>
        <row r="361">
          <cell r="G361" t="str">
            <v>fj8cpeak1cr</v>
          </cell>
          <cell r="I361" t="str">
            <v>PEAK 18 Brandi</v>
          </cell>
          <cell r="J361" t="str">
            <v>Club</v>
          </cell>
          <cell r="K361">
            <v>2600</v>
          </cell>
        </row>
        <row r="362">
          <cell r="G362" t="str">
            <v>fj7carun3cr</v>
          </cell>
          <cell r="I362" t="str">
            <v>CUVC 17 Orange</v>
          </cell>
          <cell r="J362" t="str">
            <v>Club</v>
          </cell>
          <cell r="K362">
            <v>2600</v>
          </cell>
        </row>
        <row r="363">
          <cell r="G363" t="str">
            <v>fj7triex6so</v>
          </cell>
          <cell r="I363" t="str">
            <v>TEV 17 Hilton</v>
          </cell>
          <cell r="J363" t="str">
            <v>Club</v>
          </cell>
          <cell r="K363">
            <v>2400</v>
          </cell>
        </row>
        <row r="365">
          <cell r="G365" t="str">
            <v>fj2unsel3cr</v>
          </cell>
          <cell r="I365" t="str">
            <v>USA 12's Pink</v>
          </cell>
          <cell r="J365" t="str">
            <v>Dev</v>
          </cell>
          <cell r="K365">
            <v>1200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5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6.emf"/><Relationship Id="rId4" Type="http://schemas.openxmlformats.org/officeDocument/2006/relationships/control" Target="../activeX/activeX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aes1.advancedeventsystems.com/Event/Volleyball/EventTeamInfo.aspx?ZCruShzPjMGv6cuivzEZ3bdHnxan7utPe-38b2URl8mzU62jttSjG3kENzzLrFO5DJ2gC4tYCpITNOPe7kWQLp22OSbVlCGBuLUYcUJcvMs1mfXaIumiL4opmJlO0to2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aes1.advancedeventsystems.com/Event/Volleyball/EventTeamInfo.aspx?ZCruShzPjMGv6cuivzEZ3bdHnxan7utPe-38b2URl8mzU62jttSjG3kENzzLrFO5DJ2gC4tYCpITNOPe7kWQLp22OSbVlCGBuLUYcUJcvMs1mfXaIumiL4opmJlO0to2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aes1.advancedeventsystems.com/Event/Volleyball/EventTeamInfo.aspx?ZCruShzPjMGv6cuivzEZ3bdHnxan7utPe-38b2URl8mzU62jttSjG3kENzzLrFO5DJ2gC4tYCpITNOPe7kWQLp22OSbVlCGBuLUYcUJcvMs1mfXaIumiL4opmJlO0to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rgb="FFFF0000"/>
  </sheetPr>
  <dimension ref="A1:BA235"/>
  <sheetViews>
    <sheetView zoomScaleNormal="100" workbookViewId="0">
      <selection activeCell="AZ6" sqref="AZ6"/>
    </sheetView>
  </sheetViews>
  <sheetFormatPr defaultColWidth="8.88671875" defaultRowHeight="13.2" x14ac:dyDescent="0.25"/>
  <cols>
    <col min="1" max="1" width="8.88671875" style="4"/>
    <col min="2" max="2" width="3.6640625" style="4" customWidth="1"/>
    <col min="3" max="3" width="2.33203125" style="4" customWidth="1"/>
    <col min="4" max="5" width="3.6640625" style="4" customWidth="1"/>
    <col min="6" max="6" width="2.33203125" style="4" customWidth="1"/>
    <col min="7" max="8" width="3.6640625" style="4" customWidth="1"/>
    <col min="9" max="9" width="2.33203125" style="4" customWidth="1"/>
    <col min="10" max="11" width="3.6640625" style="4" customWidth="1"/>
    <col min="12" max="12" width="2.33203125" style="4" customWidth="1"/>
    <col min="13" max="14" width="3.6640625" style="4" customWidth="1"/>
    <col min="15" max="15" width="2.33203125" style="4" customWidth="1"/>
    <col min="16" max="17" width="3.6640625" style="4" customWidth="1"/>
    <col min="18" max="18" width="2.33203125" style="4" customWidth="1"/>
    <col min="19" max="20" width="3.6640625" style="4" customWidth="1"/>
    <col min="21" max="21" width="2.33203125" style="4" customWidth="1"/>
    <col min="22" max="23" width="3.6640625" style="4" customWidth="1"/>
    <col min="24" max="24" width="2.33203125" style="4" customWidth="1"/>
    <col min="25" max="26" width="3.6640625" style="4" customWidth="1"/>
    <col min="27" max="27" width="2.33203125" style="4" customWidth="1"/>
    <col min="28" max="29" width="3.6640625" style="4" customWidth="1"/>
    <col min="30" max="30" width="2.33203125" style="4" customWidth="1"/>
    <col min="31" max="31" width="3.6640625" style="4" customWidth="1"/>
    <col min="32" max="32" width="9.6640625" style="4" customWidth="1"/>
    <col min="33" max="42" width="3.6640625" style="4" customWidth="1"/>
    <col min="43" max="43" width="11" style="4" customWidth="1"/>
    <col min="44" max="45" width="8.88671875" style="4"/>
    <col min="46" max="47" width="20.44140625" style="4" bestFit="1" customWidth="1"/>
    <col min="48" max="48" width="11.44140625" style="4" bestFit="1" customWidth="1"/>
    <col min="49" max="51" width="8.88671875" style="4"/>
    <col min="52" max="52" width="24.5546875" style="4" bestFit="1" customWidth="1"/>
    <col min="53" max="53" width="3" style="4" bestFit="1" customWidth="1"/>
    <col min="54" max="257" width="8.88671875" style="4"/>
    <col min="258" max="258" width="3.6640625" style="4" customWidth="1"/>
    <col min="259" max="259" width="2.33203125" style="4" customWidth="1"/>
    <col min="260" max="261" width="3.6640625" style="4" customWidth="1"/>
    <col min="262" max="262" width="2.33203125" style="4" customWidth="1"/>
    <col min="263" max="264" width="3.6640625" style="4" customWidth="1"/>
    <col min="265" max="265" width="2.33203125" style="4" customWidth="1"/>
    <col min="266" max="267" width="3.6640625" style="4" customWidth="1"/>
    <col min="268" max="268" width="2.33203125" style="4" customWidth="1"/>
    <col min="269" max="270" width="3.6640625" style="4" customWidth="1"/>
    <col min="271" max="271" width="2.33203125" style="4" customWidth="1"/>
    <col min="272" max="273" width="3.6640625" style="4" customWidth="1"/>
    <col min="274" max="274" width="2.33203125" style="4" customWidth="1"/>
    <col min="275" max="276" width="3.6640625" style="4" customWidth="1"/>
    <col min="277" max="277" width="2.33203125" style="4" customWidth="1"/>
    <col min="278" max="279" width="3.6640625" style="4" customWidth="1"/>
    <col min="280" max="280" width="2.33203125" style="4" customWidth="1"/>
    <col min="281" max="282" width="3.6640625" style="4" customWidth="1"/>
    <col min="283" max="283" width="2.33203125" style="4" customWidth="1"/>
    <col min="284" max="285" width="3.6640625" style="4" customWidth="1"/>
    <col min="286" max="286" width="2.33203125" style="4" customWidth="1"/>
    <col min="287" max="287" width="3.6640625" style="4" customWidth="1"/>
    <col min="288" max="288" width="9.6640625" style="4" customWidth="1"/>
    <col min="289" max="298" width="3.6640625" style="4" customWidth="1"/>
    <col min="299" max="299" width="11" style="4" customWidth="1"/>
    <col min="300" max="513" width="8.88671875" style="4"/>
    <col min="514" max="514" width="3.6640625" style="4" customWidth="1"/>
    <col min="515" max="515" width="2.33203125" style="4" customWidth="1"/>
    <col min="516" max="517" width="3.6640625" style="4" customWidth="1"/>
    <col min="518" max="518" width="2.33203125" style="4" customWidth="1"/>
    <col min="519" max="520" width="3.6640625" style="4" customWidth="1"/>
    <col min="521" max="521" width="2.33203125" style="4" customWidth="1"/>
    <col min="522" max="523" width="3.6640625" style="4" customWidth="1"/>
    <col min="524" max="524" width="2.33203125" style="4" customWidth="1"/>
    <col min="525" max="526" width="3.6640625" style="4" customWidth="1"/>
    <col min="527" max="527" width="2.33203125" style="4" customWidth="1"/>
    <col min="528" max="529" width="3.6640625" style="4" customWidth="1"/>
    <col min="530" max="530" width="2.33203125" style="4" customWidth="1"/>
    <col min="531" max="532" width="3.6640625" style="4" customWidth="1"/>
    <col min="533" max="533" width="2.33203125" style="4" customWidth="1"/>
    <col min="534" max="535" width="3.6640625" style="4" customWidth="1"/>
    <col min="536" max="536" width="2.33203125" style="4" customWidth="1"/>
    <col min="537" max="538" width="3.6640625" style="4" customWidth="1"/>
    <col min="539" max="539" width="2.33203125" style="4" customWidth="1"/>
    <col min="540" max="541" width="3.6640625" style="4" customWidth="1"/>
    <col min="542" max="542" width="2.33203125" style="4" customWidth="1"/>
    <col min="543" max="543" width="3.6640625" style="4" customWidth="1"/>
    <col min="544" max="544" width="9.6640625" style="4" customWidth="1"/>
    <col min="545" max="554" width="3.6640625" style="4" customWidth="1"/>
    <col min="555" max="555" width="11" style="4" customWidth="1"/>
    <col min="556" max="769" width="8.88671875" style="4"/>
    <col min="770" max="770" width="3.6640625" style="4" customWidth="1"/>
    <col min="771" max="771" width="2.33203125" style="4" customWidth="1"/>
    <col min="772" max="773" width="3.6640625" style="4" customWidth="1"/>
    <col min="774" max="774" width="2.33203125" style="4" customWidth="1"/>
    <col min="775" max="776" width="3.6640625" style="4" customWidth="1"/>
    <col min="777" max="777" width="2.33203125" style="4" customWidth="1"/>
    <col min="778" max="779" width="3.6640625" style="4" customWidth="1"/>
    <col min="780" max="780" width="2.33203125" style="4" customWidth="1"/>
    <col min="781" max="782" width="3.6640625" style="4" customWidth="1"/>
    <col min="783" max="783" width="2.33203125" style="4" customWidth="1"/>
    <col min="784" max="785" width="3.6640625" style="4" customWidth="1"/>
    <col min="786" max="786" width="2.33203125" style="4" customWidth="1"/>
    <col min="787" max="788" width="3.6640625" style="4" customWidth="1"/>
    <col min="789" max="789" width="2.33203125" style="4" customWidth="1"/>
    <col min="790" max="791" width="3.6640625" style="4" customWidth="1"/>
    <col min="792" max="792" width="2.33203125" style="4" customWidth="1"/>
    <col min="793" max="794" width="3.6640625" style="4" customWidth="1"/>
    <col min="795" max="795" width="2.33203125" style="4" customWidth="1"/>
    <col min="796" max="797" width="3.6640625" style="4" customWidth="1"/>
    <col min="798" max="798" width="2.33203125" style="4" customWidth="1"/>
    <col min="799" max="799" width="3.6640625" style="4" customWidth="1"/>
    <col min="800" max="800" width="9.6640625" style="4" customWidth="1"/>
    <col min="801" max="810" width="3.6640625" style="4" customWidth="1"/>
    <col min="811" max="811" width="11" style="4" customWidth="1"/>
    <col min="812" max="1025" width="8.88671875" style="4"/>
    <col min="1026" max="1026" width="3.6640625" style="4" customWidth="1"/>
    <col min="1027" max="1027" width="2.33203125" style="4" customWidth="1"/>
    <col min="1028" max="1029" width="3.6640625" style="4" customWidth="1"/>
    <col min="1030" max="1030" width="2.33203125" style="4" customWidth="1"/>
    <col min="1031" max="1032" width="3.6640625" style="4" customWidth="1"/>
    <col min="1033" max="1033" width="2.33203125" style="4" customWidth="1"/>
    <col min="1034" max="1035" width="3.6640625" style="4" customWidth="1"/>
    <col min="1036" max="1036" width="2.33203125" style="4" customWidth="1"/>
    <col min="1037" max="1038" width="3.6640625" style="4" customWidth="1"/>
    <col min="1039" max="1039" width="2.33203125" style="4" customWidth="1"/>
    <col min="1040" max="1041" width="3.6640625" style="4" customWidth="1"/>
    <col min="1042" max="1042" width="2.33203125" style="4" customWidth="1"/>
    <col min="1043" max="1044" width="3.6640625" style="4" customWidth="1"/>
    <col min="1045" max="1045" width="2.33203125" style="4" customWidth="1"/>
    <col min="1046" max="1047" width="3.6640625" style="4" customWidth="1"/>
    <col min="1048" max="1048" width="2.33203125" style="4" customWidth="1"/>
    <col min="1049" max="1050" width="3.6640625" style="4" customWidth="1"/>
    <col min="1051" max="1051" width="2.33203125" style="4" customWidth="1"/>
    <col min="1052" max="1053" width="3.6640625" style="4" customWidth="1"/>
    <col min="1054" max="1054" width="2.33203125" style="4" customWidth="1"/>
    <col min="1055" max="1055" width="3.6640625" style="4" customWidth="1"/>
    <col min="1056" max="1056" width="9.6640625" style="4" customWidth="1"/>
    <col min="1057" max="1066" width="3.6640625" style="4" customWidth="1"/>
    <col min="1067" max="1067" width="11" style="4" customWidth="1"/>
    <col min="1068" max="1281" width="8.88671875" style="4"/>
    <col min="1282" max="1282" width="3.6640625" style="4" customWidth="1"/>
    <col min="1283" max="1283" width="2.33203125" style="4" customWidth="1"/>
    <col min="1284" max="1285" width="3.6640625" style="4" customWidth="1"/>
    <col min="1286" max="1286" width="2.33203125" style="4" customWidth="1"/>
    <col min="1287" max="1288" width="3.6640625" style="4" customWidth="1"/>
    <col min="1289" max="1289" width="2.33203125" style="4" customWidth="1"/>
    <col min="1290" max="1291" width="3.6640625" style="4" customWidth="1"/>
    <col min="1292" max="1292" width="2.33203125" style="4" customWidth="1"/>
    <col min="1293" max="1294" width="3.6640625" style="4" customWidth="1"/>
    <col min="1295" max="1295" width="2.33203125" style="4" customWidth="1"/>
    <col min="1296" max="1297" width="3.6640625" style="4" customWidth="1"/>
    <col min="1298" max="1298" width="2.33203125" style="4" customWidth="1"/>
    <col min="1299" max="1300" width="3.6640625" style="4" customWidth="1"/>
    <col min="1301" max="1301" width="2.33203125" style="4" customWidth="1"/>
    <col min="1302" max="1303" width="3.6640625" style="4" customWidth="1"/>
    <col min="1304" max="1304" width="2.33203125" style="4" customWidth="1"/>
    <col min="1305" max="1306" width="3.6640625" style="4" customWidth="1"/>
    <col min="1307" max="1307" width="2.33203125" style="4" customWidth="1"/>
    <col min="1308" max="1309" width="3.6640625" style="4" customWidth="1"/>
    <col min="1310" max="1310" width="2.33203125" style="4" customWidth="1"/>
    <col min="1311" max="1311" width="3.6640625" style="4" customWidth="1"/>
    <col min="1312" max="1312" width="9.6640625" style="4" customWidth="1"/>
    <col min="1313" max="1322" width="3.6640625" style="4" customWidth="1"/>
    <col min="1323" max="1323" width="11" style="4" customWidth="1"/>
    <col min="1324" max="1537" width="8.88671875" style="4"/>
    <col min="1538" max="1538" width="3.6640625" style="4" customWidth="1"/>
    <col min="1539" max="1539" width="2.33203125" style="4" customWidth="1"/>
    <col min="1540" max="1541" width="3.6640625" style="4" customWidth="1"/>
    <col min="1542" max="1542" width="2.33203125" style="4" customWidth="1"/>
    <col min="1543" max="1544" width="3.6640625" style="4" customWidth="1"/>
    <col min="1545" max="1545" width="2.33203125" style="4" customWidth="1"/>
    <col min="1546" max="1547" width="3.6640625" style="4" customWidth="1"/>
    <col min="1548" max="1548" width="2.33203125" style="4" customWidth="1"/>
    <col min="1549" max="1550" width="3.6640625" style="4" customWidth="1"/>
    <col min="1551" max="1551" width="2.33203125" style="4" customWidth="1"/>
    <col min="1552" max="1553" width="3.6640625" style="4" customWidth="1"/>
    <col min="1554" max="1554" width="2.33203125" style="4" customWidth="1"/>
    <col min="1555" max="1556" width="3.6640625" style="4" customWidth="1"/>
    <col min="1557" max="1557" width="2.33203125" style="4" customWidth="1"/>
    <col min="1558" max="1559" width="3.6640625" style="4" customWidth="1"/>
    <col min="1560" max="1560" width="2.33203125" style="4" customWidth="1"/>
    <col min="1561" max="1562" width="3.6640625" style="4" customWidth="1"/>
    <col min="1563" max="1563" width="2.33203125" style="4" customWidth="1"/>
    <col min="1564" max="1565" width="3.6640625" style="4" customWidth="1"/>
    <col min="1566" max="1566" width="2.33203125" style="4" customWidth="1"/>
    <col min="1567" max="1567" width="3.6640625" style="4" customWidth="1"/>
    <col min="1568" max="1568" width="9.6640625" style="4" customWidth="1"/>
    <col min="1569" max="1578" width="3.6640625" style="4" customWidth="1"/>
    <col min="1579" max="1579" width="11" style="4" customWidth="1"/>
    <col min="1580" max="1793" width="8.88671875" style="4"/>
    <col min="1794" max="1794" width="3.6640625" style="4" customWidth="1"/>
    <col min="1795" max="1795" width="2.33203125" style="4" customWidth="1"/>
    <col min="1796" max="1797" width="3.6640625" style="4" customWidth="1"/>
    <col min="1798" max="1798" width="2.33203125" style="4" customWidth="1"/>
    <col min="1799" max="1800" width="3.6640625" style="4" customWidth="1"/>
    <col min="1801" max="1801" width="2.33203125" style="4" customWidth="1"/>
    <col min="1802" max="1803" width="3.6640625" style="4" customWidth="1"/>
    <col min="1804" max="1804" width="2.33203125" style="4" customWidth="1"/>
    <col min="1805" max="1806" width="3.6640625" style="4" customWidth="1"/>
    <col min="1807" max="1807" width="2.33203125" style="4" customWidth="1"/>
    <col min="1808" max="1809" width="3.6640625" style="4" customWidth="1"/>
    <col min="1810" max="1810" width="2.33203125" style="4" customWidth="1"/>
    <col min="1811" max="1812" width="3.6640625" style="4" customWidth="1"/>
    <col min="1813" max="1813" width="2.33203125" style="4" customWidth="1"/>
    <col min="1814" max="1815" width="3.6640625" style="4" customWidth="1"/>
    <col min="1816" max="1816" width="2.33203125" style="4" customWidth="1"/>
    <col min="1817" max="1818" width="3.6640625" style="4" customWidth="1"/>
    <col min="1819" max="1819" width="2.33203125" style="4" customWidth="1"/>
    <col min="1820" max="1821" width="3.6640625" style="4" customWidth="1"/>
    <col min="1822" max="1822" width="2.33203125" style="4" customWidth="1"/>
    <col min="1823" max="1823" width="3.6640625" style="4" customWidth="1"/>
    <col min="1824" max="1824" width="9.6640625" style="4" customWidth="1"/>
    <col min="1825" max="1834" width="3.6640625" style="4" customWidth="1"/>
    <col min="1835" max="1835" width="11" style="4" customWidth="1"/>
    <col min="1836" max="2049" width="8.88671875" style="4"/>
    <col min="2050" max="2050" width="3.6640625" style="4" customWidth="1"/>
    <col min="2051" max="2051" width="2.33203125" style="4" customWidth="1"/>
    <col min="2052" max="2053" width="3.6640625" style="4" customWidth="1"/>
    <col min="2054" max="2054" width="2.33203125" style="4" customWidth="1"/>
    <col min="2055" max="2056" width="3.6640625" style="4" customWidth="1"/>
    <col min="2057" max="2057" width="2.33203125" style="4" customWidth="1"/>
    <col min="2058" max="2059" width="3.6640625" style="4" customWidth="1"/>
    <col min="2060" max="2060" width="2.33203125" style="4" customWidth="1"/>
    <col min="2061" max="2062" width="3.6640625" style="4" customWidth="1"/>
    <col min="2063" max="2063" width="2.33203125" style="4" customWidth="1"/>
    <col min="2064" max="2065" width="3.6640625" style="4" customWidth="1"/>
    <col min="2066" max="2066" width="2.33203125" style="4" customWidth="1"/>
    <col min="2067" max="2068" width="3.6640625" style="4" customWidth="1"/>
    <col min="2069" max="2069" width="2.33203125" style="4" customWidth="1"/>
    <col min="2070" max="2071" width="3.6640625" style="4" customWidth="1"/>
    <col min="2072" max="2072" width="2.33203125" style="4" customWidth="1"/>
    <col min="2073" max="2074" width="3.6640625" style="4" customWidth="1"/>
    <col min="2075" max="2075" width="2.33203125" style="4" customWidth="1"/>
    <col min="2076" max="2077" width="3.6640625" style="4" customWidth="1"/>
    <col min="2078" max="2078" width="2.33203125" style="4" customWidth="1"/>
    <col min="2079" max="2079" width="3.6640625" style="4" customWidth="1"/>
    <col min="2080" max="2080" width="9.6640625" style="4" customWidth="1"/>
    <col min="2081" max="2090" width="3.6640625" style="4" customWidth="1"/>
    <col min="2091" max="2091" width="11" style="4" customWidth="1"/>
    <col min="2092" max="2305" width="8.88671875" style="4"/>
    <col min="2306" max="2306" width="3.6640625" style="4" customWidth="1"/>
    <col min="2307" max="2307" width="2.33203125" style="4" customWidth="1"/>
    <col min="2308" max="2309" width="3.6640625" style="4" customWidth="1"/>
    <col min="2310" max="2310" width="2.33203125" style="4" customWidth="1"/>
    <col min="2311" max="2312" width="3.6640625" style="4" customWidth="1"/>
    <col min="2313" max="2313" width="2.33203125" style="4" customWidth="1"/>
    <col min="2314" max="2315" width="3.6640625" style="4" customWidth="1"/>
    <col min="2316" max="2316" width="2.33203125" style="4" customWidth="1"/>
    <col min="2317" max="2318" width="3.6640625" style="4" customWidth="1"/>
    <col min="2319" max="2319" width="2.33203125" style="4" customWidth="1"/>
    <col min="2320" max="2321" width="3.6640625" style="4" customWidth="1"/>
    <col min="2322" max="2322" width="2.33203125" style="4" customWidth="1"/>
    <col min="2323" max="2324" width="3.6640625" style="4" customWidth="1"/>
    <col min="2325" max="2325" width="2.33203125" style="4" customWidth="1"/>
    <col min="2326" max="2327" width="3.6640625" style="4" customWidth="1"/>
    <col min="2328" max="2328" width="2.33203125" style="4" customWidth="1"/>
    <col min="2329" max="2330" width="3.6640625" style="4" customWidth="1"/>
    <col min="2331" max="2331" width="2.33203125" style="4" customWidth="1"/>
    <col min="2332" max="2333" width="3.6640625" style="4" customWidth="1"/>
    <col min="2334" max="2334" width="2.33203125" style="4" customWidth="1"/>
    <col min="2335" max="2335" width="3.6640625" style="4" customWidth="1"/>
    <col min="2336" max="2336" width="9.6640625" style="4" customWidth="1"/>
    <col min="2337" max="2346" width="3.6640625" style="4" customWidth="1"/>
    <col min="2347" max="2347" width="11" style="4" customWidth="1"/>
    <col min="2348" max="2561" width="8.88671875" style="4"/>
    <col min="2562" max="2562" width="3.6640625" style="4" customWidth="1"/>
    <col min="2563" max="2563" width="2.33203125" style="4" customWidth="1"/>
    <col min="2564" max="2565" width="3.6640625" style="4" customWidth="1"/>
    <col min="2566" max="2566" width="2.33203125" style="4" customWidth="1"/>
    <col min="2567" max="2568" width="3.6640625" style="4" customWidth="1"/>
    <col min="2569" max="2569" width="2.33203125" style="4" customWidth="1"/>
    <col min="2570" max="2571" width="3.6640625" style="4" customWidth="1"/>
    <col min="2572" max="2572" width="2.33203125" style="4" customWidth="1"/>
    <col min="2573" max="2574" width="3.6640625" style="4" customWidth="1"/>
    <col min="2575" max="2575" width="2.33203125" style="4" customWidth="1"/>
    <col min="2576" max="2577" width="3.6640625" style="4" customWidth="1"/>
    <col min="2578" max="2578" width="2.33203125" style="4" customWidth="1"/>
    <col min="2579" max="2580" width="3.6640625" style="4" customWidth="1"/>
    <col min="2581" max="2581" width="2.33203125" style="4" customWidth="1"/>
    <col min="2582" max="2583" width="3.6640625" style="4" customWidth="1"/>
    <col min="2584" max="2584" width="2.33203125" style="4" customWidth="1"/>
    <col min="2585" max="2586" width="3.6640625" style="4" customWidth="1"/>
    <col min="2587" max="2587" width="2.33203125" style="4" customWidth="1"/>
    <col min="2588" max="2589" width="3.6640625" style="4" customWidth="1"/>
    <col min="2590" max="2590" width="2.33203125" style="4" customWidth="1"/>
    <col min="2591" max="2591" width="3.6640625" style="4" customWidth="1"/>
    <col min="2592" max="2592" width="9.6640625" style="4" customWidth="1"/>
    <col min="2593" max="2602" width="3.6640625" style="4" customWidth="1"/>
    <col min="2603" max="2603" width="11" style="4" customWidth="1"/>
    <col min="2604" max="2817" width="8.88671875" style="4"/>
    <col min="2818" max="2818" width="3.6640625" style="4" customWidth="1"/>
    <col min="2819" max="2819" width="2.33203125" style="4" customWidth="1"/>
    <col min="2820" max="2821" width="3.6640625" style="4" customWidth="1"/>
    <col min="2822" max="2822" width="2.33203125" style="4" customWidth="1"/>
    <col min="2823" max="2824" width="3.6640625" style="4" customWidth="1"/>
    <col min="2825" max="2825" width="2.33203125" style="4" customWidth="1"/>
    <col min="2826" max="2827" width="3.6640625" style="4" customWidth="1"/>
    <col min="2828" max="2828" width="2.33203125" style="4" customWidth="1"/>
    <col min="2829" max="2830" width="3.6640625" style="4" customWidth="1"/>
    <col min="2831" max="2831" width="2.33203125" style="4" customWidth="1"/>
    <col min="2832" max="2833" width="3.6640625" style="4" customWidth="1"/>
    <col min="2834" max="2834" width="2.33203125" style="4" customWidth="1"/>
    <col min="2835" max="2836" width="3.6640625" style="4" customWidth="1"/>
    <col min="2837" max="2837" width="2.33203125" style="4" customWidth="1"/>
    <col min="2838" max="2839" width="3.6640625" style="4" customWidth="1"/>
    <col min="2840" max="2840" width="2.33203125" style="4" customWidth="1"/>
    <col min="2841" max="2842" width="3.6640625" style="4" customWidth="1"/>
    <col min="2843" max="2843" width="2.33203125" style="4" customWidth="1"/>
    <col min="2844" max="2845" width="3.6640625" style="4" customWidth="1"/>
    <col min="2846" max="2846" width="2.33203125" style="4" customWidth="1"/>
    <col min="2847" max="2847" width="3.6640625" style="4" customWidth="1"/>
    <col min="2848" max="2848" width="9.6640625" style="4" customWidth="1"/>
    <col min="2849" max="2858" width="3.6640625" style="4" customWidth="1"/>
    <col min="2859" max="2859" width="11" style="4" customWidth="1"/>
    <col min="2860" max="3073" width="8.88671875" style="4"/>
    <col min="3074" max="3074" width="3.6640625" style="4" customWidth="1"/>
    <col min="3075" max="3075" width="2.33203125" style="4" customWidth="1"/>
    <col min="3076" max="3077" width="3.6640625" style="4" customWidth="1"/>
    <col min="3078" max="3078" width="2.33203125" style="4" customWidth="1"/>
    <col min="3079" max="3080" width="3.6640625" style="4" customWidth="1"/>
    <col min="3081" max="3081" width="2.33203125" style="4" customWidth="1"/>
    <col min="3082" max="3083" width="3.6640625" style="4" customWidth="1"/>
    <col min="3084" max="3084" width="2.33203125" style="4" customWidth="1"/>
    <col min="3085" max="3086" width="3.6640625" style="4" customWidth="1"/>
    <col min="3087" max="3087" width="2.33203125" style="4" customWidth="1"/>
    <col min="3088" max="3089" width="3.6640625" style="4" customWidth="1"/>
    <col min="3090" max="3090" width="2.33203125" style="4" customWidth="1"/>
    <col min="3091" max="3092" width="3.6640625" style="4" customWidth="1"/>
    <col min="3093" max="3093" width="2.33203125" style="4" customWidth="1"/>
    <col min="3094" max="3095" width="3.6640625" style="4" customWidth="1"/>
    <col min="3096" max="3096" width="2.33203125" style="4" customWidth="1"/>
    <col min="3097" max="3098" width="3.6640625" style="4" customWidth="1"/>
    <col min="3099" max="3099" width="2.33203125" style="4" customWidth="1"/>
    <col min="3100" max="3101" width="3.6640625" style="4" customWidth="1"/>
    <col min="3102" max="3102" width="2.33203125" style="4" customWidth="1"/>
    <col min="3103" max="3103" width="3.6640625" style="4" customWidth="1"/>
    <col min="3104" max="3104" width="9.6640625" style="4" customWidth="1"/>
    <col min="3105" max="3114" width="3.6640625" style="4" customWidth="1"/>
    <col min="3115" max="3115" width="11" style="4" customWidth="1"/>
    <col min="3116" max="3329" width="8.88671875" style="4"/>
    <col min="3330" max="3330" width="3.6640625" style="4" customWidth="1"/>
    <col min="3331" max="3331" width="2.33203125" style="4" customWidth="1"/>
    <col min="3332" max="3333" width="3.6640625" style="4" customWidth="1"/>
    <col min="3334" max="3334" width="2.33203125" style="4" customWidth="1"/>
    <col min="3335" max="3336" width="3.6640625" style="4" customWidth="1"/>
    <col min="3337" max="3337" width="2.33203125" style="4" customWidth="1"/>
    <col min="3338" max="3339" width="3.6640625" style="4" customWidth="1"/>
    <col min="3340" max="3340" width="2.33203125" style="4" customWidth="1"/>
    <col min="3341" max="3342" width="3.6640625" style="4" customWidth="1"/>
    <col min="3343" max="3343" width="2.33203125" style="4" customWidth="1"/>
    <col min="3344" max="3345" width="3.6640625" style="4" customWidth="1"/>
    <col min="3346" max="3346" width="2.33203125" style="4" customWidth="1"/>
    <col min="3347" max="3348" width="3.6640625" style="4" customWidth="1"/>
    <col min="3349" max="3349" width="2.33203125" style="4" customWidth="1"/>
    <col min="3350" max="3351" width="3.6640625" style="4" customWidth="1"/>
    <col min="3352" max="3352" width="2.33203125" style="4" customWidth="1"/>
    <col min="3353" max="3354" width="3.6640625" style="4" customWidth="1"/>
    <col min="3355" max="3355" width="2.33203125" style="4" customWidth="1"/>
    <col min="3356" max="3357" width="3.6640625" style="4" customWidth="1"/>
    <col min="3358" max="3358" width="2.33203125" style="4" customWidth="1"/>
    <col min="3359" max="3359" width="3.6640625" style="4" customWidth="1"/>
    <col min="3360" max="3360" width="9.6640625" style="4" customWidth="1"/>
    <col min="3361" max="3370" width="3.6640625" style="4" customWidth="1"/>
    <col min="3371" max="3371" width="11" style="4" customWidth="1"/>
    <col min="3372" max="3585" width="8.88671875" style="4"/>
    <col min="3586" max="3586" width="3.6640625" style="4" customWidth="1"/>
    <col min="3587" max="3587" width="2.33203125" style="4" customWidth="1"/>
    <col min="3588" max="3589" width="3.6640625" style="4" customWidth="1"/>
    <col min="3590" max="3590" width="2.33203125" style="4" customWidth="1"/>
    <col min="3591" max="3592" width="3.6640625" style="4" customWidth="1"/>
    <col min="3593" max="3593" width="2.33203125" style="4" customWidth="1"/>
    <col min="3594" max="3595" width="3.6640625" style="4" customWidth="1"/>
    <col min="3596" max="3596" width="2.33203125" style="4" customWidth="1"/>
    <col min="3597" max="3598" width="3.6640625" style="4" customWidth="1"/>
    <col min="3599" max="3599" width="2.33203125" style="4" customWidth="1"/>
    <col min="3600" max="3601" width="3.6640625" style="4" customWidth="1"/>
    <col min="3602" max="3602" width="2.33203125" style="4" customWidth="1"/>
    <col min="3603" max="3604" width="3.6640625" style="4" customWidth="1"/>
    <col min="3605" max="3605" width="2.33203125" style="4" customWidth="1"/>
    <col min="3606" max="3607" width="3.6640625" style="4" customWidth="1"/>
    <col min="3608" max="3608" width="2.33203125" style="4" customWidth="1"/>
    <col min="3609" max="3610" width="3.6640625" style="4" customWidth="1"/>
    <col min="3611" max="3611" width="2.33203125" style="4" customWidth="1"/>
    <col min="3612" max="3613" width="3.6640625" style="4" customWidth="1"/>
    <col min="3614" max="3614" width="2.33203125" style="4" customWidth="1"/>
    <col min="3615" max="3615" width="3.6640625" style="4" customWidth="1"/>
    <col min="3616" max="3616" width="9.6640625" style="4" customWidth="1"/>
    <col min="3617" max="3626" width="3.6640625" style="4" customWidth="1"/>
    <col min="3627" max="3627" width="11" style="4" customWidth="1"/>
    <col min="3628" max="3841" width="8.88671875" style="4"/>
    <col min="3842" max="3842" width="3.6640625" style="4" customWidth="1"/>
    <col min="3843" max="3843" width="2.33203125" style="4" customWidth="1"/>
    <col min="3844" max="3845" width="3.6640625" style="4" customWidth="1"/>
    <col min="3846" max="3846" width="2.33203125" style="4" customWidth="1"/>
    <col min="3847" max="3848" width="3.6640625" style="4" customWidth="1"/>
    <col min="3849" max="3849" width="2.33203125" style="4" customWidth="1"/>
    <col min="3850" max="3851" width="3.6640625" style="4" customWidth="1"/>
    <col min="3852" max="3852" width="2.33203125" style="4" customWidth="1"/>
    <col min="3853" max="3854" width="3.6640625" style="4" customWidth="1"/>
    <col min="3855" max="3855" width="2.33203125" style="4" customWidth="1"/>
    <col min="3856" max="3857" width="3.6640625" style="4" customWidth="1"/>
    <col min="3858" max="3858" width="2.33203125" style="4" customWidth="1"/>
    <col min="3859" max="3860" width="3.6640625" style="4" customWidth="1"/>
    <col min="3861" max="3861" width="2.33203125" style="4" customWidth="1"/>
    <col min="3862" max="3863" width="3.6640625" style="4" customWidth="1"/>
    <col min="3864" max="3864" width="2.33203125" style="4" customWidth="1"/>
    <col min="3865" max="3866" width="3.6640625" style="4" customWidth="1"/>
    <col min="3867" max="3867" width="2.33203125" style="4" customWidth="1"/>
    <col min="3868" max="3869" width="3.6640625" style="4" customWidth="1"/>
    <col min="3870" max="3870" width="2.33203125" style="4" customWidth="1"/>
    <col min="3871" max="3871" width="3.6640625" style="4" customWidth="1"/>
    <col min="3872" max="3872" width="9.6640625" style="4" customWidth="1"/>
    <col min="3873" max="3882" width="3.6640625" style="4" customWidth="1"/>
    <col min="3883" max="3883" width="11" style="4" customWidth="1"/>
    <col min="3884" max="4097" width="8.88671875" style="4"/>
    <col min="4098" max="4098" width="3.6640625" style="4" customWidth="1"/>
    <col min="4099" max="4099" width="2.33203125" style="4" customWidth="1"/>
    <col min="4100" max="4101" width="3.6640625" style="4" customWidth="1"/>
    <col min="4102" max="4102" width="2.33203125" style="4" customWidth="1"/>
    <col min="4103" max="4104" width="3.6640625" style="4" customWidth="1"/>
    <col min="4105" max="4105" width="2.33203125" style="4" customWidth="1"/>
    <col min="4106" max="4107" width="3.6640625" style="4" customWidth="1"/>
    <col min="4108" max="4108" width="2.33203125" style="4" customWidth="1"/>
    <col min="4109" max="4110" width="3.6640625" style="4" customWidth="1"/>
    <col min="4111" max="4111" width="2.33203125" style="4" customWidth="1"/>
    <col min="4112" max="4113" width="3.6640625" style="4" customWidth="1"/>
    <col min="4114" max="4114" width="2.33203125" style="4" customWidth="1"/>
    <col min="4115" max="4116" width="3.6640625" style="4" customWidth="1"/>
    <col min="4117" max="4117" width="2.33203125" style="4" customWidth="1"/>
    <col min="4118" max="4119" width="3.6640625" style="4" customWidth="1"/>
    <col min="4120" max="4120" width="2.33203125" style="4" customWidth="1"/>
    <col min="4121" max="4122" width="3.6640625" style="4" customWidth="1"/>
    <col min="4123" max="4123" width="2.33203125" style="4" customWidth="1"/>
    <col min="4124" max="4125" width="3.6640625" style="4" customWidth="1"/>
    <col min="4126" max="4126" width="2.33203125" style="4" customWidth="1"/>
    <col min="4127" max="4127" width="3.6640625" style="4" customWidth="1"/>
    <col min="4128" max="4128" width="9.6640625" style="4" customWidth="1"/>
    <col min="4129" max="4138" width="3.6640625" style="4" customWidth="1"/>
    <col min="4139" max="4139" width="11" style="4" customWidth="1"/>
    <col min="4140" max="4353" width="8.88671875" style="4"/>
    <col min="4354" max="4354" width="3.6640625" style="4" customWidth="1"/>
    <col min="4355" max="4355" width="2.33203125" style="4" customWidth="1"/>
    <col min="4356" max="4357" width="3.6640625" style="4" customWidth="1"/>
    <col min="4358" max="4358" width="2.33203125" style="4" customWidth="1"/>
    <col min="4359" max="4360" width="3.6640625" style="4" customWidth="1"/>
    <col min="4361" max="4361" width="2.33203125" style="4" customWidth="1"/>
    <col min="4362" max="4363" width="3.6640625" style="4" customWidth="1"/>
    <col min="4364" max="4364" width="2.33203125" style="4" customWidth="1"/>
    <col min="4365" max="4366" width="3.6640625" style="4" customWidth="1"/>
    <col min="4367" max="4367" width="2.33203125" style="4" customWidth="1"/>
    <col min="4368" max="4369" width="3.6640625" style="4" customWidth="1"/>
    <col min="4370" max="4370" width="2.33203125" style="4" customWidth="1"/>
    <col min="4371" max="4372" width="3.6640625" style="4" customWidth="1"/>
    <col min="4373" max="4373" width="2.33203125" style="4" customWidth="1"/>
    <col min="4374" max="4375" width="3.6640625" style="4" customWidth="1"/>
    <col min="4376" max="4376" width="2.33203125" style="4" customWidth="1"/>
    <col min="4377" max="4378" width="3.6640625" style="4" customWidth="1"/>
    <col min="4379" max="4379" width="2.33203125" style="4" customWidth="1"/>
    <col min="4380" max="4381" width="3.6640625" style="4" customWidth="1"/>
    <col min="4382" max="4382" width="2.33203125" style="4" customWidth="1"/>
    <col min="4383" max="4383" width="3.6640625" style="4" customWidth="1"/>
    <col min="4384" max="4384" width="9.6640625" style="4" customWidth="1"/>
    <col min="4385" max="4394" width="3.6640625" style="4" customWidth="1"/>
    <col min="4395" max="4395" width="11" style="4" customWidth="1"/>
    <col min="4396" max="4609" width="8.88671875" style="4"/>
    <col min="4610" max="4610" width="3.6640625" style="4" customWidth="1"/>
    <col min="4611" max="4611" width="2.33203125" style="4" customWidth="1"/>
    <col min="4612" max="4613" width="3.6640625" style="4" customWidth="1"/>
    <col min="4614" max="4614" width="2.33203125" style="4" customWidth="1"/>
    <col min="4615" max="4616" width="3.6640625" style="4" customWidth="1"/>
    <col min="4617" max="4617" width="2.33203125" style="4" customWidth="1"/>
    <col min="4618" max="4619" width="3.6640625" style="4" customWidth="1"/>
    <col min="4620" max="4620" width="2.33203125" style="4" customWidth="1"/>
    <col min="4621" max="4622" width="3.6640625" style="4" customWidth="1"/>
    <col min="4623" max="4623" width="2.33203125" style="4" customWidth="1"/>
    <col min="4624" max="4625" width="3.6640625" style="4" customWidth="1"/>
    <col min="4626" max="4626" width="2.33203125" style="4" customWidth="1"/>
    <col min="4627" max="4628" width="3.6640625" style="4" customWidth="1"/>
    <col min="4629" max="4629" width="2.33203125" style="4" customWidth="1"/>
    <col min="4630" max="4631" width="3.6640625" style="4" customWidth="1"/>
    <col min="4632" max="4632" width="2.33203125" style="4" customWidth="1"/>
    <col min="4633" max="4634" width="3.6640625" style="4" customWidth="1"/>
    <col min="4635" max="4635" width="2.33203125" style="4" customWidth="1"/>
    <col min="4636" max="4637" width="3.6640625" style="4" customWidth="1"/>
    <col min="4638" max="4638" width="2.33203125" style="4" customWidth="1"/>
    <col min="4639" max="4639" width="3.6640625" style="4" customWidth="1"/>
    <col min="4640" max="4640" width="9.6640625" style="4" customWidth="1"/>
    <col min="4641" max="4650" width="3.6640625" style="4" customWidth="1"/>
    <col min="4651" max="4651" width="11" style="4" customWidth="1"/>
    <col min="4652" max="4865" width="8.88671875" style="4"/>
    <col min="4866" max="4866" width="3.6640625" style="4" customWidth="1"/>
    <col min="4867" max="4867" width="2.33203125" style="4" customWidth="1"/>
    <col min="4868" max="4869" width="3.6640625" style="4" customWidth="1"/>
    <col min="4870" max="4870" width="2.33203125" style="4" customWidth="1"/>
    <col min="4871" max="4872" width="3.6640625" style="4" customWidth="1"/>
    <col min="4873" max="4873" width="2.33203125" style="4" customWidth="1"/>
    <col min="4874" max="4875" width="3.6640625" style="4" customWidth="1"/>
    <col min="4876" max="4876" width="2.33203125" style="4" customWidth="1"/>
    <col min="4877" max="4878" width="3.6640625" style="4" customWidth="1"/>
    <col min="4879" max="4879" width="2.33203125" style="4" customWidth="1"/>
    <col min="4880" max="4881" width="3.6640625" style="4" customWidth="1"/>
    <col min="4882" max="4882" width="2.33203125" style="4" customWidth="1"/>
    <col min="4883" max="4884" width="3.6640625" style="4" customWidth="1"/>
    <col min="4885" max="4885" width="2.33203125" style="4" customWidth="1"/>
    <col min="4886" max="4887" width="3.6640625" style="4" customWidth="1"/>
    <col min="4888" max="4888" width="2.33203125" style="4" customWidth="1"/>
    <col min="4889" max="4890" width="3.6640625" style="4" customWidth="1"/>
    <col min="4891" max="4891" width="2.33203125" style="4" customWidth="1"/>
    <col min="4892" max="4893" width="3.6640625" style="4" customWidth="1"/>
    <col min="4894" max="4894" width="2.33203125" style="4" customWidth="1"/>
    <col min="4895" max="4895" width="3.6640625" style="4" customWidth="1"/>
    <col min="4896" max="4896" width="9.6640625" style="4" customWidth="1"/>
    <col min="4897" max="4906" width="3.6640625" style="4" customWidth="1"/>
    <col min="4907" max="4907" width="11" style="4" customWidth="1"/>
    <col min="4908" max="5121" width="8.88671875" style="4"/>
    <col min="5122" max="5122" width="3.6640625" style="4" customWidth="1"/>
    <col min="5123" max="5123" width="2.33203125" style="4" customWidth="1"/>
    <col min="5124" max="5125" width="3.6640625" style="4" customWidth="1"/>
    <col min="5126" max="5126" width="2.33203125" style="4" customWidth="1"/>
    <col min="5127" max="5128" width="3.6640625" style="4" customWidth="1"/>
    <col min="5129" max="5129" width="2.33203125" style="4" customWidth="1"/>
    <col min="5130" max="5131" width="3.6640625" style="4" customWidth="1"/>
    <col min="5132" max="5132" width="2.33203125" style="4" customWidth="1"/>
    <col min="5133" max="5134" width="3.6640625" style="4" customWidth="1"/>
    <col min="5135" max="5135" width="2.33203125" style="4" customWidth="1"/>
    <col min="5136" max="5137" width="3.6640625" style="4" customWidth="1"/>
    <col min="5138" max="5138" width="2.33203125" style="4" customWidth="1"/>
    <col min="5139" max="5140" width="3.6640625" style="4" customWidth="1"/>
    <col min="5141" max="5141" width="2.33203125" style="4" customWidth="1"/>
    <col min="5142" max="5143" width="3.6640625" style="4" customWidth="1"/>
    <col min="5144" max="5144" width="2.33203125" style="4" customWidth="1"/>
    <col min="5145" max="5146" width="3.6640625" style="4" customWidth="1"/>
    <col min="5147" max="5147" width="2.33203125" style="4" customWidth="1"/>
    <col min="5148" max="5149" width="3.6640625" style="4" customWidth="1"/>
    <col min="5150" max="5150" width="2.33203125" style="4" customWidth="1"/>
    <col min="5151" max="5151" width="3.6640625" style="4" customWidth="1"/>
    <col min="5152" max="5152" width="9.6640625" style="4" customWidth="1"/>
    <col min="5153" max="5162" width="3.6640625" style="4" customWidth="1"/>
    <col min="5163" max="5163" width="11" style="4" customWidth="1"/>
    <col min="5164" max="5377" width="8.88671875" style="4"/>
    <col min="5378" max="5378" width="3.6640625" style="4" customWidth="1"/>
    <col min="5379" max="5379" width="2.33203125" style="4" customWidth="1"/>
    <col min="5380" max="5381" width="3.6640625" style="4" customWidth="1"/>
    <col min="5382" max="5382" width="2.33203125" style="4" customWidth="1"/>
    <col min="5383" max="5384" width="3.6640625" style="4" customWidth="1"/>
    <col min="5385" max="5385" width="2.33203125" style="4" customWidth="1"/>
    <col min="5386" max="5387" width="3.6640625" style="4" customWidth="1"/>
    <col min="5388" max="5388" width="2.33203125" style="4" customWidth="1"/>
    <col min="5389" max="5390" width="3.6640625" style="4" customWidth="1"/>
    <col min="5391" max="5391" width="2.33203125" style="4" customWidth="1"/>
    <col min="5392" max="5393" width="3.6640625" style="4" customWidth="1"/>
    <col min="5394" max="5394" width="2.33203125" style="4" customWidth="1"/>
    <col min="5395" max="5396" width="3.6640625" style="4" customWidth="1"/>
    <col min="5397" max="5397" width="2.33203125" style="4" customWidth="1"/>
    <col min="5398" max="5399" width="3.6640625" style="4" customWidth="1"/>
    <col min="5400" max="5400" width="2.33203125" style="4" customWidth="1"/>
    <col min="5401" max="5402" width="3.6640625" style="4" customWidth="1"/>
    <col min="5403" max="5403" width="2.33203125" style="4" customWidth="1"/>
    <col min="5404" max="5405" width="3.6640625" style="4" customWidth="1"/>
    <col min="5406" max="5406" width="2.33203125" style="4" customWidth="1"/>
    <col min="5407" max="5407" width="3.6640625" style="4" customWidth="1"/>
    <col min="5408" max="5408" width="9.6640625" style="4" customWidth="1"/>
    <col min="5409" max="5418" width="3.6640625" style="4" customWidth="1"/>
    <col min="5419" max="5419" width="11" style="4" customWidth="1"/>
    <col min="5420" max="5633" width="8.88671875" style="4"/>
    <col min="5634" max="5634" width="3.6640625" style="4" customWidth="1"/>
    <col min="5635" max="5635" width="2.33203125" style="4" customWidth="1"/>
    <col min="5636" max="5637" width="3.6640625" style="4" customWidth="1"/>
    <col min="5638" max="5638" width="2.33203125" style="4" customWidth="1"/>
    <col min="5639" max="5640" width="3.6640625" style="4" customWidth="1"/>
    <col min="5641" max="5641" width="2.33203125" style="4" customWidth="1"/>
    <col min="5642" max="5643" width="3.6640625" style="4" customWidth="1"/>
    <col min="5644" max="5644" width="2.33203125" style="4" customWidth="1"/>
    <col min="5645" max="5646" width="3.6640625" style="4" customWidth="1"/>
    <col min="5647" max="5647" width="2.33203125" style="4" customWidth="1"/>
    <col min="5648" max="5649" width="3.6640625" style="4" customWidth="1"/>
    <col min="5650" max="5650" width="2.33203125" style="4" customWidth="1"/>
    <col min="5651" max="5652" width="3.6640625" style="4" customWidth="1"/>
    <col min="5653" max="5653" width="2.33203125" style="4" customWidth="1"/>
    <col min="5654" max="5655" width="3.6640625" style="4" customWidth="1"/>
    <col min="5656" max="5656" width="2.33203125" style="4" customWidth="1"/>
    <col min="5657" max="5658" width="3.6640625" style="4" customWidth="1"/>
    <col min="5659" max="5659" width="2.33203125" style="4" customWidth="1"/>
    <col min="5660" max="5661" width="3.6640625" style="4" customWidth="1"/>
    <col min="5662" max="5662" width="2.33203125" style="4" customWidth="1"/>
    <col min="5663" max="5663" width="3.6640625" style="4" customWidth="1"/>
    <col min="5664" max="5664" width="9.6640625" style="4" customWidth="1"/>
    <col min="5665" max="5674" width="3.6640625" style="4" customWidth="1"/>
    <col min="5675" max="5675" width="11" style="4" customWidth="1"/>
    <col min="5676" max="5889" width="8.88671875" style="4"/>
    <col min="5890" max="5890" width="3.6640625" style="4" customWidth="1"/>
    <col min="5891" max="5891" width="2.33203125" style="4" customWidth="1"/>
    <col min="5892" max="5893" width="3.6640625" style="4" customWidth="1"/>
    <col min="5894" max="5894" width="2.33203125" style="4" customWidth="1"/>
    <col min="5895" max="5896" width="3.6640625" style="4" customWidth="1"/>
    <col min="5897" max="5897" width="2.33203125" style="4" customWidth="1"/>
    <col min="5898" max="5899" width="3.6640625" style="4" customWidth="1"/>
    <col min="5900" max="5900" width="2.33203125" style="4" customWidth="1"/>
    <col min="5901" max="5902" width="3.6640625" style="4" customWidth="1"/>
    <col min="5903" max="5903" width="2.33203125" style="4" customWidth="1"/>
    <col min="5904" max="5905" width="3.6640625" style="4" customWidth="1"/>
    <col min="5906" max="5906" width="2.33203125" style="4" customWidth="1"/>
    <col min="5907" max="5908" width="3.6640625" style="4" customWidth="1"/>
    <col min="5909" max="5909" width="2.33203125" style="4" customWidth="1"/>
    <col min="5910" max="5911" width="3.6640625" style="4" customWidth="1"/>
    <col min="5912" max="5912" width="2.33203125" style="4" customWidth="1"/>
    <col min="5913" max="5914" width="3.6640625" style="4" customWidth="1"/>
    <col min="5915" max="5915" width="2.33203125" style="4" customWidth="1"/>
    <col min="5916" max="5917" width="3.6640625" style="4" customWidth="1"/>
    <col min="5918" max="5918" width="2.33203125" style="4" customWidth="1"/>
    <col min="5919" max="5919" width="3.6640625" style="4" customWidth="1"/>
    <col min="5920" max="5920" width="9.6640625" style="4" customWidth="1"/>
    <col min="5921" max="5930" width="3.6640625" style="4" customWidth="1"/>
    <col min="5931" max="5931" width="11" style="4" customWidth="1"/>
    <col min="5932" max="6145" width="8.88671875" style="4"/>
    <col min="6146" max="6146" width="3.6640625" style="4" customWidth="1"/>
    <col min="6147" max="6147" width="2.33203125" style="4" customWidth="1"/>
    <col min="6148" max="6149" width="3.6640625" style="4" customWidth="1"/>
    <col min="6150" max="6150" width="2.33203125" style="4" customWidth="1"/>
    <col min="6151" max="6152" width="3.6640625" style="4" customWidth="1"/>
    <col min="6153" max="6153" width="2.33203125" style="4" customWidth="1"/>
    <col min="6154" max="6155" width="3.6640625" style="4" customWidth="1"/>
    <col min="6156" max="6156" width="2.33203125" style="4" customWidth="1"/>
    <col min="6157" max="6158" width="3.6640625" style="4" customWidth="1"/>
    <col min="6159" max="6159" width="2.33203125" style="4" customWidth="1"/>
    <col min="6160" max="6161" width="3.6640625" style="4" customWidth="1"/>
    <col min="6162" max="6162" width="2.33203125" style="4" customWidth="1"/>
    <col min="6163" max="6164" width="3.6640625" style="4" customWidth="1"/>
    <col min="6165" max="6165" width="2.33203125" style="4" customWidth="1"/>
    <col min="6166" max="6167" width="3.6640625" style="4" customWidth="1"/>
    <col min="6168" max="6168" width="2.33203125" style="4" customWidth="1"/>
    <col min="6169" max="6170" width="3.6640625" style="4" customWidth="1"/>
    <col min="6171" max="6171" width="2.33203125" style="4" customWidth="1"/>
    <col min="6172" max="6173" width="3.6640625" style="4" customWidth="1"/>
    <col min="6174" max="6174" width="2.33203125" style="4" customWidth="1"/>
    <col min="6175" max="6175" width="3.6640625" style="4" customWidth="1"/>
    <col min="6176" max="6176" width="9.6640625" style="4" customWidth="1"/>
    <col min="6177" max="6186" width="3.6640625" style="4" customWidth="1"/>
    <col min="6187" max="6187" width="11" style="4" customWidth="1"/>
    <col min="6188" max="6401" width="8.88671875" style="4"/>
    <col min="6402" max="6402" width="3.6640625" style="4" customWidth="1"/>
    <col min="6403" max="6403" width="2.33203125" style="4" customWidth="1"/>
    <col min="6404" max="6405" width="3.6640625" style="4" customWidth="1"/>
    <col min="6406" max="6406" width="2.33203125" style="4" customWidth="1"/>
    <col min="6407" max="6408" width="3.6640625" style="4" customWidth="1"/>
    <col min="6409" max="6409" width="2.33203125" style="4" customWidth="1"/>
    <col min="6410" max="6411" width="3.6640625" style="4" customWidth="1"/>
    <col min="6412" max="6412" width="2.33203125" style="4" customWidth="1"/>
    <col min="6413" max="6414" width="3.6640625" style="4" customWidth="1"/>
    <col min="6415" max="6415" width="2.33203125" style="4" customWidth="1"/>
    <col min="6416" max="6417" width="3.6640625" style="4" customWidth="1"/>
    <col min="6418" max="6418" width="2.33203125" style="4" customWidth="1"/>
    <col min="6419" max="6420" width="3.6640625" style="4" customWidth="1"/>
    <col min="6421" max="6421" width="2.33203125" style="4" customWidth="1"/>
    <col min="6422" max="6423" width="3.6640625" style="4" customWidth="1"/>
    <col min="6424" max="6424" width="2.33203125" style="4" customWidth="1"/>
    <col min="6425" max="6426" width="3.6640625" style="4" customWidth="1"/>
    <col min="6427" max="6427" width="2.33203125" style="4" customWidth="1"/>
    <col min="6428" max="6429" width="3.6640625" style="4" customWidth="1"/>
    <col min="6430" max="6430" width="2.33203125" style="4" customWidth="1"/>
    <col min="6431" max="6431" width="3.6640625" style="4" customWidth="1"/>
    <col min="6432" max="6432" width="9.6640625" style="4" customWidth="1"/>
    <col min="6433" max="6442" width="3.6640625" style="4" customWidth="1"/>
    <col min="6443" max="6443" width="11" style="4" customWidth="1"/>
    <col min="6444" max="6657" width="8.88671875" style="4"/>
    <col min="6658" max="6658" width="3.6640625" style="4" customWidth="1"/>
    <col min="6659" max="6659" width="2.33203125" style="4" customWidth="1"/>
    <col min="6660" max="6661" width="3.6640625" style="4" customWidth="1"/>
    <col min="6662" max="6662" width="2.33203125" style="4" customWidth="1"/>
    <col min="6663" max="6664" width="3.6640625" style="4" customWidth="1"/>
    <col min="6665" max="6665" width="2.33203125" style="4" customWidth="1"/>
    <col min="6666" max="6667" width="3.6640625" style="4" customWidth="1"/>
    <col min="6668" max="6668" width="2.33203125" style="4" customWidth="1"/>
    <col min="6669" max="6670" width="3.6640625" style="4" customWidth="1"/>
    <col min="6671" max="6671" width="2.33203125" style="4" customWidth="1"/>
    <col min="6672" max="6673" width="3.6640625" style="4" customWidth="1"/>
    <col min="6674" max="6674" width="2.33203125" style="4" customWidth="1"/>
    <col min="6675" max="6676" width="3.6640625" style="4" customWidth="1"/>
    <col min="6677" max="6677" width="2.33203125" style="4" customWidth="1"/>
    <col min="6678" max="6679" width="3.6640625" style="4" customWidth="1"/>
    <col min="6680" max="6680" width="2.33203125" style="4" customWidth="1"/>
    <col min="6681" max="6682" width="3.6640625" style="4" customWidth="1"/>
    <col min="6683" max="6683" width="2.33203125" style="4" customWidth="1"/>
    <col min="6684" max="6685" width="3.6640625" style="4" customWidth="1"/>
    <col min="6686" max="6686" width="2.33203125" style="4" customWidth="1"/>
    <col min="6687" max="6687" width="3.6640625" style="4" customWidth="1"/>
    <col min="6688" max="6688" width="9.6640625" style="4" customWidth="1"/>
    <col min="6689" max="6698" width="3.6640625" style="4" customWidth="1"/>
    <col min="6699" max="6699" width="11" style="4" customWidth="1"/>
    <col min="6700" max="6913" width="8.88671875" style="4"/>
    <col min="6914" max="6914" width="3.6640625" style="4" customWidth="1"/>
    <col min="6915" max="6915" width="2.33203125" style="4" customWidth="1"/>
    <col min="6916" max="6917" width="3.6640625" style="4" customWidth="1"/>
    <col min="6918" max="6918" width="2.33203125" style="4" customWidth="1"/>
    <col min="6919" max="6920" width="3.6640625" style="4" customWidth="1"/>
    <col min="6921" max="6921" width="2.33203125" style="4" customWidth="1"/>
    <col min="6922" max="6923" width="3.6640625" style="4" customWidth="1"/>
    <col min="6924" max="6924" width="2.33203125" style="4" customWidth="1"/>
    <col min="6925" max="6926" width="3.6640625" style="4" customWidth="1"/>
    <col min="6927" max="6927" width="2.33203125" style="4" customWidth="1"/>
    <col min="6928" max="6929" width="3.6640625" style="4" customWidth="1"/>
    <col min="6930" max="6930" width="2.33203125" style="4" customWidth="1"/>
    <col min="6931" max="6932" width="3.6640625" style="4" customWidth="1"/>
    <col min="6933" max="6933" width="2.33203125" style="4" customWidth="1"/>
    <col min="6934" max="6935" width="3.6640625" style="4" customWidth="1"/>
    <col min="6936" max="6936" width="2.33203125" style="4" customWidth="1"/>
    <col min="6937" max="6938" width="3.6640625" style="4" customWidth="1"/>
    <col min="6939" max="6939" width="2.33203125" style="4" customWidth="1"/>
    <col min="6940" max="6941" width="3.6640625" style="4" customWidth="1"/>
    <col min="6942" max="6942" width="2.33203125" style="4" customWidth="1"/>
    <col min="6943" max="6943" width="3.6640625" style="4" customWidth="1"/>
    <col min="6944" max="6944" width="9.6640625" style="4" customWidth="1"/>
    <col min="6945" max="6954" width="3.6640625" style="4" customWidth="1"/>
    <col min="6955" max="6955" width="11" style="4" customWidth="1"/>
    <col min="6956" max="7169" width="8.88671875" style="4"/>
    <col min="7170" max="7170" width="3.6640625" style="4" customWidth="1"/>
    <col min="7171" max="7171" width="2.33203125" style="4" customWidth="1"/>
    <col min="7172" max="7173" width="3.6640625" style="4" customWidth="1"/>
    <col min="7174" max="7174" width="2.33203125" style="4" customWidth="1"/>
    <col min="7175" max="7176" width="3.6640625" style="4" customWidth="1"/>
    <col min="7177" max="7177" width="2.33203125" style="4" customWidth="1"/>
    <col min="7178" max="7179" width="3.6640625" style="4" customWidth="1"/>
    <col min="7180" max="7180" width="2.33203125" style="4" customWidth="1"/>
    <col min="7181" max="7182" width="3.6640625" style="4" customWidth="1"/>
    <col min="7183" max="7183" width="2.33203125" style="4" customWidth="1"/>
    <col min="7184" max="7185" width="3.6640625" style="4" customWidth="1"/>
    <col min="7186" max="7186" width="2.33203125" style="4" customWidth="1"/>
    <col min="7187" max="7188" width="3.6640625" style="4" customWidth="1"/>
    <col min="7189" max="7189" width="2.33203125" style="4" customWidth="1"/>
    <col min="7190" max="7191" width="3.6640625" style="4" customWidth="1"/>
    <col min="7192" max="7192" width="2.33203125" style="4" customWidth="1"/>
    <col min="7193" max="7194" width="3.6640625" style="4" customWidth="1"/>
    <col min="7195" max="7195" width="2.33203125" style="4" customWidth="1"/>
    <col min="7196" max="7197" width="3.6640625" style="4" customWidth="1"/>
    <col min="7198" max="7198" width="2.33203125" style="4" customWidth="1"/>
    <col min="7199" max="7199" width="3.6640625" style="4" customWidth="1"/>
    <col min="7200" max="7200" width="9.6640625" style="4" customWidth="1"/>
    <col min="7201" max="7210" width="3.6640625" style="4" customWidth="1"/>
    <col min="7211" max="7211" width="11" style="4" customWidth="1"/>
    <col min="7212" max="7425" width="8.88671875" style="4"/>
    <col min="7426" max="7426" width="3.6640625" style="4" customWidth="1"/>
    <col min="7427" max="7427" width="2.33203125" style="4" customWidth="1"/>
    <col min="7428" max="7429" width="3.6640625" style="4" customWidth="1"/>
    <col min="7430" max="7430" width="2.33203125" style="4" customWidth="1"/>
    <col min="7431" max="7432" width="3.6640625" style="4" customWidth="1"/>
    <col min="7433" max="7433" width="2.33203125" style="4" customWidth="1"/>
    <col min="7434" max="7435" width="3.6640625" style="4" customWidth="1"/>
    <col min="7436" max="7436" width="2.33203125" style="4" customWidth="1"/>
    <col min="7437" max="7438" width="3.6640625" style="4" customWidth="1"/>
    <col min="7439" max="7439" width="2.33203125" style="4" customWidth="1"/>
    <col min="7440" max="7441" width="3.6640625" style="4" customWidth="1"/>
    <col min="7442" max="7442" width="2.33203125" style="4" customWidth="1"/>
    <col min="7443" max="7444" width="3.6640625" style="4" customWidth="1"/>
    <col min="7445" max="7445" width="2.33203125" style="4" customWidth="1"/>
    <col min="7446" max="7447" width="3.6640625" style="4" customWidth="1"/>
    <col min="7448" max="7448" width="2.33203125" style="4" customWidth="1"/>
    <col min="7449" max="7450" width="3.6640625" style="4" customWidth="1"/>
    <col min="7451" max="7451" width="2.33203125" style="4" customWidth="1"/>
    <col min="7452" max="7453" width="3.6640625" style="4" customWidth="1"/>
    <col min="7454" max="7454" width="2.33203125" style="4" customWidth="1"/>
    <col min="7455" max="7455" width="3.6640625" style="4" customWidth="1"/>
    <col min="7456" max="7456" width="9.6640625" style="4" customWidth="1"/>
    <col min="7457" max="7466" width="3.6640625" style="4" customWidth="1"/>
    <col min="7467" max="7467" width="11" style="4" customWidth="1"/>
    <col min="7468" max="7681" width="8.88671875" style="4"/>
    <col min="7682" max="7682" width="3.6640625" style="4" customWidth="1"/>
    <col min="7683" max="7683" width="2.33203125" style="4" customWidth="1"/>
    <col min="7684" max="7685" width="3.6640625" style="4" customWidth="1"/>
    <col min="7686" max="7686" width="2.33203125" style="4" customWidth="1"/>
    <col min="7687" max="7688" width="3.6640625" style="4" customWidth="1"/>
    <col min="7689" max="7689" width="2.33203125" style="4" customWidth="1"/>
    <col min="7690" max="7691" width="3.6640625" style="4" customWidth="1"/>
    <col min="7692" max="7692" width="2.33203125" style="4" customWidth="1"/>
    <col min="7693" max="7694" width="3.6640625" style="4" customWidth="1"/>
    <col min="7695" max="7695" width="2.33203125" style="4" customWidth="1"/>
    <col min="7696" max="7697" width="3.6640625" style="4" customWidth="1"/>
    <col min="7698" max="7698" width="2.33203125" style="4" customWidth="1"/>
    <col min="7699" max="7700" width="3.6640625" style="4" customWidth="1"/>
    <col min="7701" max="7701" width="2.33203125" style="4" customWidth="1"/>
    <col min="7702" max="7703" width="3.6640625" style="4" customWidth="1"/>
    <col min="7704" max="7704" width="2.33203125" style="4" customWidth="1"/>
    <col min="7705" max="7706" width="3.6640625" style="4" customWidth="1"/>
    <col min="7707" max="7707" width="2.33203125" style="4" customWidth="1"/>
    <col min="7708" max="7709" width="3.6640625" style="4" customWidth="1"/>
    <col min="7710" max="7710" width="2.33203125" style="4" customWidth="1"/>
    <col min="7711" max="7711" width="3.6640625" style="4" customWidth="1"/>
    <col min="7712" max="7712" width="9.6640625" style="4" customWidth="1"/>
    <col min="7713" max="7722" width="3.6640625" style="4" customWidth="1"/>
    <col min="7723" max="7723" width="11" style="4" customWidth="1"/>
    <col min="7724" max="7937" width="8.88671875" style="4"/>
    <col min="7938" max="7938" width="3.6640625" style="4" customWidth="1"/>
    <col min="7939" max="7939" width="2.33203125" style="4" customWidth="1"/>
    <col min="7940" max="7941" width="3.6640625" style="4" customWidth="1"/>
    <col min="7942" max="7942" width="2.33203125" style="4" customWidth="1"/>
    <col min="7943" max="7944" width="3.6640625" style="4" customWidth="1"/>
    <col min="7945" max="7945" width="2.33203125" style="4" customWidth="1"/>
    <col min="7946" max="7947" width="3.6640625" style="4" customWidth="1"/>
    <col min="7948" max="7948" width="2.33203125" style="4" customWidth="1"/>
    <col min="7949" max="7950" width="3.6640625" style="4" customWidth="1"/>
    <col min="7951" max="7951" width="2.33203125" style="4" customWidth="1"/>
    <col min="7952" max="7953" width="3.6640625" style="4" customWidth="1"/>
    <col min="7954" max="7954" width="2.33203125" style="4" customWidth="1"/>
    <col min="7955" max="7956" width="3.6640625" style="4" customWidth="1"/>
    <col min="7957" max="7957" width="2.33203125" style="4" customWidth="1"/>
    <col min="7958" max="7959" width="3.6640625" style="4" customWidth="1"/>
    <col min="7960" max="7960" width="2.33203125" style="4" customWidth="1"/>
    <col min="7961" max="7962" width="3.6640625" style="4" customWidth="1"/>
    <col min="7963" max="7963" width="2.33203125" style="4" customWidth="1"/>
    <col min="7964" max="7965" width="3.6640625" style="4" customWidth="1"/>
    <col min="7966" max="7966" width="2.33203125" style="4" customWidth="1"/>
    <col min="7967" max="7967" width="3.6640625" style="4" customWidth="1"/>
    <col min="7968" max="7968" width="9.6640625" style="4" customWidth="1"/>
    <col min="7969" max="7978" width="3.6640625" style="4" customWidth="1"/>
    <col min="7979" max="7979" width="11" style="4" customWidth="1"/>
    <col min="7980" max="8193" width="8.88671875" style="4"/>
    <col min="8194" max="8194" width="3.6640625" style="4" customWidth="1"/>
    <col min="8195" max="8195" width="2.33203125" style="4" customWidth="1"/>
    <col min="8196" max="8197" width="3.6640625" style="4" customWidth="1"/>
    <col min="8198" max="8198" width="2.33203125" style="4" customWidth="1"/>
    <col min="8199" max="8200" width="3.6640625" style="4" customWidth="1"/>
    <col min="8201" max="8201" width="2.33203125" style="4" customWidth="1"/>
    <col min="8202" max="8203" width="3.6640625" style="4" customWidth="1"/>
    <col min="8204" max="8204" width="2.33203125" style="4" customWidth="1"/>
    <col min="8205" max="8206" width="3.6640625" style="4" customWidth="1"/>
    <col min="8207" max="8207" width="2.33203125" style="4" customWidth="1"/>
    <col min="8208" max="8209" width="3.6640625" style="4" customWidth="1"/>
    <col min="8210" max="8210" width="2.33203125" style="4" customWidth="1"/>
    <col min="8211" max="8212" width="3.6640625" style="4" customWidth="1"/>
    <col min="8213" max="8213" width="2.33203125" style="4" customWidth="1"/>
    <col min="8214" max="8215" width="3.6640625" style="4" customWidth="1"/>
    <col min="8216" max="8216" width="2.33203125" style="4" customWidth="1"/>
    <col min="8217" max="8218" width="3.6640625" style="4" customWidth="1"/>
    <col min="8219" max="8219" width="2.33203125" style="4" customWidth="1"/>
    <col min="8220" max="8221" width="3.6640625" style="4" customWidth="1"/>
    <col min="8222" max="8222" width="2.33203125" style="4" customWidth="1"/>
    <col min="8223" max="8223" width="3.6640625" style="4" customWidth="1"/>
    <col min="8224" max="8224" width="9.6640625" style="4" customWidth="1"/>
    <col min="8225" max="8234" width="3.6640625" style="4" customWidth="1"/>
    <col min="8235" max="8235" width="11" style="4" customWidth="1"/>
    <col min="8236" max="8449" width="8.88671875" style="4"/>
    <col min="8450" max="8450" width="3.6640625" style="4" customWidth="1"/>
    <col min="8451" max="8451" width="2.33203125" style="4" customWidth="1"/>
    <col min="8452" max="8453" width="3.6640625" style="4" customWidth="1"/>
    <col min="8454" max="8454" width="2.33203125" style="4" customWidth="1"/>
    <col min="8455" max="8456" width="3.6640625" style="4" customWidth="1"/>
    <col min="8457" max="8457" width="2.33203125" style="4" customWidth="1"/>
    <col min="8458" max="8459" width="3.6640625" style="4" customWidth="1"/>
    <col min="8460" max="8460" width="2.33203125" style="4" customWidth="1"/>
    <col min="8461" max="8462" width="3.6640625" style="4" customWidth="1"/>
    <col min="8463" max="8463" width="2.33203125" style="4" customWidth="1"/>
    <col min="8464" max="8465" width="3.6640625" style="4" customWidth="1"/>
    <col min="8466" max="8466" width="2.33203125" style="4" customWidth="1"/>
    <col min="8467" max="8468" width="3.6640625" style="4" customWidth="1"/>
    <col min="8469" max="8469" width="2.33203125" style="4" customWidth="1"/>
    <col min="8470" max="8471" width="3.6640625" style="4" customWidth="1"/>
    <col min="8472" max="8472" width="2.33203125" style="4" customWidth="1"/>
    <col min="8473" max="8474" width="3.6640625" style="4" customWidth="1"/>
    <col min="8475" max="8475" width="2.33203125" style="4" customWidth="1"/>
    <col min="8476" max="8477" width="3.6640625" style="4" customWidth="1"/>
    <col min="8478" max="8478" width="2.33203125" style="4" customWidth="1"/>
    <col min="8479" max="8479" width="3.6640625" style="4" customWidth="1"/>
    <col min="8480" max="8480" width="9.6640625" style="4" customWidth="1"/>
    <col min="8481" max="8490" width="3.6640625" style="4" customWidth="1"/>
    <col min="8491" max="8491" width="11" style="4" customWidth="1"/>
    <col min="8492" max="8705" width="8.88671875" style="4"/>
    <col min="8706" max="8706" width="3.6640625" style="4" customWidth="1"/>
    <col min="8707" max="8707" width="2.33203125" style="4" customWidth="1"/>
    <col min="8708" max="8709" width="3.6640625" style="4" customWidth="1"/>
    <col min="8710" max="8710" width="2.33203125" style="4" customWidth="1"/>
    <col min="8711" max="8712" width="3.6640625" style="4" customWidth="1"/>
    <col min="8713" max="8713" width="2.33203125" style="4" customWidth="1"/>
    <col min="8714" max="8715" width="3.6640625" style="4" customWidth="1"/>
    <col min="8716" max="8716" width="2.33203125" style="4" customWidth="1"/>
    <col min="8717" max="8718" width="3.6640625" style="4" customWidth="1"/>
    <col min="8719" max="8719" width="2.33203125" style="4" customWidth="1"/>
    <col min="8720" max="8721" width="3.6640625" style="4" customWidth="1"/>
    <col min="8722" max="8722" width="2.33203125" style="4" customWidth="1"/>
    <col min="8723" max="8724" width="3.6640625" style="4" customWidth="1"/>
    <col min="8725" max="8725" width="2.33203125" style="4" customWidth="1"/>
    <col min="8726" max="8727" width="3.6640625" style="4" customWidth="1"/>
    <col min="8728" max="8728" width="2.33203125" style="4" customWidth="1"/>
    <col min="8729" max="8730" width="3.6640625" style="4" customWidth="1"/>
    <col min="8731" max="8731" width="2.33203125" style="4" customWidth="1"/>
    <col min="8732" max="8733" width="3.6640625" style="4" customWidth="1"/>
    <col min="8734" max="8734" width="2.33203125" style="4" customWidth="1"/>
    <col min="8735" max="8735" width="3.6640625" style="4" customWidth="1"/>
    <col min="8736" max="8736" width="9.6640625" style="4" customWidth="1"/>
    <col min="8737" max="8746" width="3.6640625" style="4" customWidth="1"/>
    <col min="8747" max="8747" width="11" style="4" customWidth="1"/>
    <col min="8748" max="8961" width="8.88671875" style="4"/>
    <col min="8962" max="8962" width="3.6640625" style="4" customWidth="1"/>
    <col min="8963" max="8963" width="2.33203125" style="4" customWidth="1"/>
    <col min="8964" max="8965" width="3.6640625" style="4" customWidth="1"/>
    <col min="8966" max="8966" width="2.33203125" style="4" customWidth="1"/>
    <col min="8967" max="8968" width="3.6640625" style="4" customWidth="1"/>
    <col min="8969" max="8969" width="2.33203125" style="4" customWidth="1"/>
    <col min="8970" max="8971" width="3.6640625" style="4" customWidth="1"/>
    <col min="8972" max="8972" width="2.33203125" style="4" customWidth="1"/>
    <col min="8973" max="8974" width="3.6640625" style="4" customWidth="1"/>
    <col min="8975" max="8975" width="2.33203125" style="4" customWidth="1"/>
    <col min="8976" max="8977" width="3.6640625" style="4" customWidth="1"/>
    <col min="8978" max="8978" width="2.33203125" style="4" customWidth="1"/>
    <col min="8979" max="8980" width="3.6640625" style="4" customWidth="1"/>
    <col min="8981" max="8981" width="2.33203125" style="4" customWidth="1"/>
    <col min="8982" max="8983" width="3.6640625" style="4" customWidth="1"/>
    <col min="8984" max="8984" width="2.33203125" style="4" customWidth="1"/>
    <col min="8985" max="8986" width="3.6640625" style="4" customWidth="1"/>
    <col min="8987" max="8987" width="2.33203125" style="4" customWidth="1"/>
    <col min="8988" max="8989" width="3.6640625" style="4" customWidth="1"/>
    <col min="8990" max="8990" width="2.33203125" style="4" customWidth="1"/>
    <col min="8991" max="8991" width="3.6640625" style="4" customWidth="1"/>
    <col min="8992" max="8992" width="9.6640625" style="4" customWidth="1"/>
    <col min="8993" max="9002" width="3.6640625" style="4" customWidth="1"/>
    <col min="9003" max="9003" width="11" style="4" customWidth="1"/>
    <col min="9004" max="9217" width="8.88671875" style="4"/>
    <col min="9218" max="9218" width="3.6640625" style="4" customWidth="1"/>
    <col min="9219" max="9219" width="2.33203125" style="4" customWidth="1"/>
    <col min="9220" max="9221" width="3.6640625" style="4" customWidth="1"/>
    <col min="9222" max="9222" width="2.33203125" style="4" customWidth="1"/>
    <col min="9223" max="9224" width="3.6640625" style="4" customWidth="1"/>
    <col min="9225" max="9225" width="2.33203125" style="4" customWidth="1"/>
    <col min="9226" max="9227" width="3.6640625" style="4" customWidth="1"/>
    <col min="9228" max="9228" width="2.33203125" style="4" customWidth="1"/>
    <col min="9229" max="9230" width="3.6640625" style="4" customWidth="1"/>
    <col min="9231" max="9231" width="2.33203125" style="4" customWidth="1"/>
    <col min="9232" max="9233" width="3.6640625" style="4" customWidth="1"/>
    <col min="9234" max="9234" width="2.33203125" style="4" customWidth="1"/>
    <col min="9235" max="9236" width="3.6640625" style="4" customWidth="1"/>
    <col min="9237" max="9237" width="2.33203125" style="4" customWidth="1"/>
    <col min="9238" max="9239" width="3.6640625" style="4" customWidth="1"/>
    <col min="9240" max="9240" width="2.33203125" style="4" customWidth="1"/>
    <col min="9241" max="9242" width="3.6640625" style="4" customWidth="1"/>
    <col min="9243" max="9243" width="2.33203125" style="4" customWidth="1"/>
    <col min="9244" max="9245" width="3.6640625" style="4" customWidth="1"/>
    <col min="9246" max="9246" width="2.33203125" style="4" customWidth="1"/>
    <col min="9247" max="9247" width="3.6640625" style="4" customWidth="1"/>
    <col min="9248" max="9248" width="9.6640625" style="4" customWidth="1"/>
    <col min="9249" max="9258" width="3.6640625" style="4" customWidth="1"/>
    <col min="9259" max="9259" width="11" style="4" customWidth="1"/>
    <col min="9260" max="9473" width="8.88671875" style="4"/>
    <col min="9474" max="9474" width="3.6640625" style="4" customWidth="1"/>
    <col min="9475" max="9475" width="2.33203125" style="4" customWidth="1"/>
    <col min="9476" max="9477" width="3.6640625" style="4" customWidth="1"/>
    <col min="9478" max="9478" width="2.33203125" style="4" customWidth="1"/>
    <col min="9479" max="9480" width="3.6640625" style="4" customWidth="1"/>
    <col min="9481" max="9481" width="2.33203125" style="4" customWidth="1"/>
    <col min="9482" max="9483" width="3.6640625" style="4" customWidth="1"/>
    <col min="9484" max="9484" width="2.33203125" style="4" customWidth="1"/>
    <col min="9485" max="9486" width="3.6640625" style="4" customWidth="1"/>
    <col min="9487" max="9487" width="2.33203125" style="4" customWidth="1"/>
    <col min="9488" max="9489" width="3.6640625" style="4" customWidth="1"/>
    <col min="9490" max="9490" width="2.33203125" style="4" customWidth="1"/>
    <col min="9491" max="9492" width="3.6640625" style="4" customWidth="1"/>
    <col min="9493" max="9493" width="2.33203125" style="4" customWidth="1"/>
    <col min="9494" max="9495" width="3.6640625" style="4" customWidth="1"/>
    <col min="9496" max="9496" width="2.33203125" style="4" customWidth="1"/>
    <col min="9497" max="9498" width="3.6640625" style="4" customWidth="1"/>
    <col min="9499" max="9499" width="2.33203125" style="4" customWidth="1"/>
    <col min="9500" max="9501" width="3.6640625" style="4" customWidth="1"/>
    <col min="9502" max="9502" width="2.33203125" style="4" customWidth="1"/>
    <col min="9503" max="9503" width="3.6640625" style="4" customWidth="1"/>
    <col min="9504" max="9504" width="9.6640625" style="4" customWidth="1"/>
    <col min="9505" max="9514" width="3.6640625" style="4" customWidth="1"/>
    <col min="9515" max="9515" width="11" style="4" customWidth="1"/>
    <col min="9516" max="9729" width="8.88671875" style="4"/>
    <col min="9730" max="9730" width="3.6640625" style="4" customWidth="1"/>
    <col min="9731" max="9731" width="2.33203125" style="4" customWidth="1"/>
    <col min="9732" max="9733" width="3.6640625" style="4" customWidth="1"/>
    <col min="9734" max="9734" width="2.33203125" style="4" customWidth="1"/>
    <col min="9735" max="9736" width="3.6640625" style="4" customWidth="1"/>
    <col min="9737" max="9737" width="2.33203125" style="4" customWidth="1"/>
    <col min="9738" max="9739" width="3.6640625" style="4" customWidth="1"/>
    <col min="9740" max="9740" width="2.33203125" style="4" customWidth="1"/>
    <col min="9741" max="9742" width="3.6640625" style="4" customWidth="1"/>
    <col min="9743" max="9743" width="2.33203125" style="4" customWidth="1"/>
    <col min="9744" max="9745" width="3.6640625" style="4" customWidth="1"/>
    <col min="9746" max="9746" width="2.33203125" style="4" customWidth="1"/>
    <col min="9747" max="9748" width="3.6640625" style="4" customWidth="1"/>
    <col min="9749" max="9749" width="2.33203125" style="4" customWidth="1"/>
    <col min="9750" max="9751" width="3.6640625" style="4" customWidth="1"/>
    <col min="9752" max="9752" width="2.33203125" style="4" customWidth="1"/>
    <col min="9753" max="9754" width="3.6640625" style="4" customWidth="1"/>
    <col min="9755" max="9755" width="2.33203125" style="4" customWidth="1"/>
    <col min="9756" max="9757" width="3.6640625" style="4" customWidth="1"/>
    <col min="9758" max="9758" width="2.33203125" style="4" customWidth="1"/>
    <col min="9759" max="9759" width="3.6640625" style="4" customWidth="1"/>
    <col min="9760" max="9760" width="9.6640625" style="4" customWidth="1"/>
    <col min="9761" max="9770" width="3.6640625" style="4" customWidth="1"/>
    <col min="9771" max="9771" width="11" style="4" customWidth="1"/>
    <col min="9772" max="9985" width="8.88671875" style="4"/>
    <col min="9986" max="9986" width="3.6640625" style="4" customWidth="1"/>
    <col min="9987" max="9987" width="2.33203125" style="4" customWidth="1"/>
    <col min="9988" max="9989" width="3.6640625" style="4" customWidth="1"/>
    <col min="9990" max="9990" width="2.33203125" style="4" customWidth="1"/>
    <col min="9991" max="9992" width="3.6640625" style="4" customWidth="1"/>
    <col min="9993" max="9993" width="2.33203125" style="4" customWidth="1"/>
    <col min="9994" max="9995" width="3.6640625" style="4" customWidth="1"/>
    <col min="9996" max="9996" width="2.33203125" style="4" customWidth="1"/>
    <col min="9997" max="9998" width="3.6640625" style="4" customWidth="1"/>
    <col min="9999" max="9999" width="2.33203125" style="4" customWidth="1"/>
    <col min="10000" max="10001" width="3.6640625" style="4" customWidth="1"/>
    <col min="10002" max="10002" width="2.33203125" style="4" customWidth="1"/>
    <col min="10003" max="10004" width="3.6640625" style="4" customWidth="1"/>
    <col min="10005" max="10005" width="2.33203125" style="4" customWidth="1"/>
    <col min="10006" max="10007" width="3.6640625" style="4" customWidth="1"/>
    <col min="10008" max="10008" width="2.33203125" style="4" customWidth="1"/>
    <col min="10009" max="10010" width="3.6640625" style="4" customWidth="1"/>
    <col min="10011" max="10011" width="2.33203125" style="4" customWidth="1"/>
    <col min="10012" max="10013" width="3.6640625" style="4" customWidth="1"/>
    <col min="10014" max="10014" width="2.33203125" style="4" customWidth="1"/>
    <col min="10015" max="10015" width="3.6640625" style="4" customWidth="1"/>
    <col min="10016" max="10016" width="9.6640625" style="4" customWidth="1"/>
    <col min="10017" max="10026" width="3.6640625" style="4" customWidth="1"/>
    <col min="10027" max="10027" width="11" style="4" customWidth="1"/>
    <col min="10028" max="10241" width="8.88671875" style="4"/>
    <col min="10242" max="10242" width="3.6640625" style="4" customWidth="1"/>
    <col min="10243" max="10243" width="2.33203125" style="4" customWidth="1"/>
    <col min="10244" max="10245" width="3.6640625" style="4" customWidth="1"/>
    <col min="10246" max="10246" width="2.33203125" style="4" customWidth="1"/>
    <col min="10247" max="10248" width="3.6640625" style="4" customWidth="1"/>
    <col min="10249" max="10249" width="2.33203125" style="4" customWidth="1"/>
    <col min="10250" max="10251" width="3.6640625" style="4" customWidth="1"/>
    <col min="10252" max="10252" width="2.33203125" style="4" customWidth="1"/>
    <col min="10253" max="10254" width="3.6640625" style="4" customWidth="1"/>
    <col min="10255" max="10255" width="2.33203125" style="4" customWidth="1"/>
    <col min="10256" max="10257" width="3.6640625" style="4" customWidth="1"/>
    <col min="10258" max="10258" width="2.33203125" style="4" customWidth="1"/>
    <col min="10259" max="10260" width="3.6640625" style="4" customWidth="1"/>
    <col min="10261" max="10261" width="2.33203125" style="4" customWidth="1"/>
    <col min="10262" max="10263" width="3.6640625" style="4" customWidth="1"/>
    <col min="10264" max="10264" width="2.33203125" style="4" customWidth="1"/>
    <col min="10265" max="10266" width="3.6640625" style="4" customWidth="1"/>
    <col min="10267" max="10267" width="2.33203125" style="4" customWidth="1"/>
    <col min="10268" max="10269" width="3.6640625" style="4" customWidth="1"/>
    <col min="10270" max="10270" width="2.33203125" style="4" customWidth="1"/>
    <col min="10271" max="10271" width="3.6640625" style="4" customWidth="1"/>
    <col min="10272" max="10272" width="9.6640625" style="4" customWidth="1"/>
    <col min="10273" max="10282" width="3.6640625" style="4" customWidth="1"/>
    <col min="10283" max="10283" width="11" style="4" customWidth="1"/>
    <col min="10284" max="10497" width="8.88671875" style="4"/>
    <col min="10498" max="10498" width="3.6640625" style="4" customWidth="1"/>
    <col min="10499" max="10499" width="2.33203125" style="4" customWidth="1"/>
    <col min="10500" max="10501" width="3.6640625" style="4" customWidth="1"/>
    <col min="10502" max="10502" width="2.33203125" style="4" customWidth="1"/>
    <col min="10503" max="10504" width="3.6640625" style="4" customWidth="1"/>
    <col min="10505" max="10505" width="2.33203125" style="4" customWidth="1"/>
    <col min="10506" max="10507" width="3.6640625" style="4" customWidth="1"/>
    <col min="10508" max="10508" width="2.33203125" style="4" customWidth="1"/>
    <col min="10509" max="10510" width="3.6640625" style="4" customWidth="1"/>
    <col min="10511" max="10511" width="2.33203125" style="4" customWidth="1"/>
    <col min="10512" max="10513" width="3.6640625" style="4" customWidth="1"/>
    <col min="10514" max="10514" width="2.33203125" style="4" customWidth="1"/>
    <col min="10515" max="10516" width="3.6640625" style="4" customWidth="1"/>
    <col min="10517" max="10517" width="2.33203125" style="4" customWidth="1"/>
    <col min="10518" max="10519" width="3.6640625" style="4" customWidth="1"/>
    <col min="10520" max="10520" width="2.33203125" style="4" customWidth="1"/>
    <col min="10521" max="10522" width="3.6640625" style="4" customWidth="1"/>
    <col min="10523" max="10523" width="2.33203125" style="4" customWidth="1"/>
    <col min="10524" max="10525" width="3.6640625" style="4" customWidth="1"/>
    <col min="10526" max="10526" width="2.33203125" style="4" customWidth="1"/>
    <col min="10527" max="10527" width="3.6640625" style="4" customWidth="1"/>
    <col min="10528" max="10528" width="9.6640625" style="4" customWidth="1"/>
    <col min="10529" max="10538" width="3.6640625" style="4" customWidth="1"/>
    <col min="10539" max="10539" width="11" style="4" customWidth="1"/>
    <col min="10540" max="10753" width="8.88671875" style="4"/>
    <col min="10754" max="10754" width="3.6640625" style="4" customWidth="1"/>
    <col min="10755" max="10755" width="2.33203125" style="4" customWidth="1"/>
    <col min="10756" max="10757" width="3.6640625" style="4" customWidth="1"/>
    <col min="10758" max="10758" width="2.33203125" style="4" customWidth="1"/>
    <col min="10759" max="10760" width="3.6640625" style="4" customWidth="1"/>
    <col min="10761" max="10761" width="2.33203125" style="4" customWidth="1"/>
    <col min="10762" max="10763" width="3.6640625" style="4" customWidth="1"/>
    <col min="10764" max="10764" width="2.33203125" style="4" customWidth="1"/>
    <col min="10765" max="10766" width="3.6640625" style="4" customWidth="1"/>
    <col min="10767" max="10767" width="2.33203125" style="4" customWidth="1"/>
    <col min="10768" max="10769" width="3.6640625" style="4" customWidth="1"/>
    <col min="10770" max="10770" width="2.33203125" style="4" customWidth="1"/>
    <col min="10771" max="10772" width="3.6640625" style="4" customWidth="1"/>
    <col min="10773" max="10773" width="2.33203125" style="4" customWidth="1"/>
    <col min="10774" max="10775" width="3.6640625" style="4" customWidth="1"/>
    <col min="10776" max="10776" width="2.33203125" style="4" customWidth="1"/>
    <col min="10777" max="10778" width="3.6640625" style="4" customWidth="1"/>
    <col min="10779" max="10779" width="2.33203125" style="4" customWidth="1"/>
    <col min="10780" max="10781" width="3.6640625" style="4" customWidth="1"/>
    <col min="10782" max="10782" width="2.33203125" style="4" customWidth="1"/>
    <col min="10783" max="10783" width="3.6640625" style="4" customWidth="1"/>
    <col min="10784" max="10784" width="9.6640625" style="4" customWidth="1"/>
    <col min="10785" max="10794" width="3.6640625" style="4" customWidth="1"/>
    <col min="10795" max="10795" width="11" style="4" customWidth="1"/>
    <col min="10796" max="11009" width="8.88671875" style="4"/>
    <col min="11010" max="11010" width="3.6640625" style="4" customWidth="1"/>
    <col min="11011" max="11011" width="2.33203125" style="4" customWidth="1"/>
    <col min="11012" max="11013" width="3.6640625" style="4" customWidth="1"/>
    <col min="11014" max="11014" width="2.33203125" style="4" customWidth="1"/>
    <col min="11015" max="11016" width="3.6640625" style="4" customWidth="1"/>
    <col min="11017" max="11017" width="2.33203125" style="4" customWidth="1"/>
    <col min="11018" max="11019" width="3.6640625" style="4" customWidth="1"/>
    <col min="11020" max="11020" width="2.33203125" style="4" customWidth="1"/>
    <col min="11021" max="11022" width="3.6640625" style="4" customWidth="1"/>
    <col min="11023" max="11023" width="2.33203125" style="4" customWidth="1"/>
    <col min="11024" max="11025" width="3.6640625" style="4" customWidth="1"/>
    <col min="11026" max="11026" width="2.33203125" style="4" customWidth="1"/>
    <col min="11027" max="11028" width="3.6640625" style="4" customWidth="1"/>
    <col min="11029" max="11029" width="2.33203125" style="4" customWidth="1"/>
    <col min="11030" max="11031" width="3.6640625" style="4" customWidth="1"/>
    <col min="11032" max="11032" width="2.33203125" style="4" customWidth="1"/>
    <col min="11033" max="11034" width="3.6640625" style="4" customWidth="1"/>
    <col min="11035" max="11035" width="2.33203125" style="4" customWidth="1"/>
    <col min="11036" max="11037" width="3.6640625" style="4" customWidth="1"/>
    <col min="11038" max="11038" width="2.33203125" style="4" customWidth="1"/>
    <col min="11039" max="11039" width="3.6640625" style="4" customWidth="1"/>
    <col min="11040" max="11040" width="9.6640625" style="4" customWidth="1"/>
    <col min="11041" max="11050" width="3.6640625" style="4" customWidth="1"/>
    <col min="11051" max="11051" width="11" style="4" customWidth="1"/>
    <col min="11052" max="11265" width="8.88671875" style="4"/>
    <col min="11266" max="11266" width="3.6640625" style="4" customWidth="1"/>
    <col min="11267" max="11267" width="2.33203125" style="4" customWidth="1"/>
    <col min="11268" max="11269" width="3.6640625" style="4" customWidth="1"/>
    <col min="11270" max="11270" width="2.33203125" style="4" customWidth="1"/>
    <col min="11271" max="11272" width="3.6640625" style="4" customWidth="1"/>
    <col min="11273" max="11273" width="2.33203125" style="4" customWidth="1"/>
    <col min="11274" max="11275" width="3.6640625" style="4" customWidth="1"/>
    <col min="11276" max="11276" width="2.33203125" style="4" customWidth="1"/>
    <col min="11277" max="11278" width="3.6640625" style="4" customWidth="1"/>
    <col min="11279" max="11279" width="2.33203125" style="4" customWidth="1"/>
    <col min="11280" max="11281" width="3.6640625" style="4" customWidth="1"/>
    <col min="11282" max="11282" width="2.33203125" style="4" customWidth="1"/>
    <col min="11283" max="11284" width="3.6640625" style="4" customWidth="1"/>
    <col min="11285" max="11285" width="2.33203125" style="4" customWidth="1"/>
    <col min="11286" max="11287" width="3.6640625" style="4" customWidth="1"/>
    <col min="11288" max="11288" width="2.33203125" style="4" customWidth="1"/>
    <col min="11289" max="11290" width="3.6640625" style="4" customWidth="1"/>
    <col min="11291" max="11291" width="2.33203125" style="4" customWidth="1"/>
    <col min="11292" max="11293" width="3.6640625" style="4" customWidth="1"/>
    <col min="11294" max="11294" width="2.33203125" style="4" customWidth="1"/>
    <col min="11295" max="11295" width="3.6640625" style="4" customWidth="1"/>
    <col min="11296" max="11296" width="9.6640625" style="4" customWidth="1"/>
    <col min="11297" max="11306" width="3.6640625" style="4" customWidth="1"/>
    <col min="11307" max="11307" width="11" style="4" customWidth="1"/>
    <col min="11308" max="11521" width="8.88671875" style="4"/>
    <col min="11522" max="11522" width="3.6640625" style="4" customWidth="1"/>
    <col min="11523" max="11523" width="2.33203125" style="4" customWidth="1"/>
    <col min="11524" max="11525" width="3.6640625" style="4" customWidth="1"/>
    <col min="11526" max="11526" width="2.33203125" style="4" customWidth="1"/>
    <col min="11527" max="11528" width="3.6640625" style="4" customWidth="1"/>
    <col min="11529" max="11529" width="2.33203125" style="4" customWidth="1"/>
    <col min="11530" max="11531" width="3.6640625" style="4" customWidth="1"/>
    <col min="11532" max="11532" width="2.33203125" style="4" customWidth="1"/>
    <col min="11533" max="11534" width="3.6640625" style="4" customWidth="1"/>
    <col min="11535" max="11535" width="2.33203125" style="4" customWidth="1"/>
    <col min="11536" max="11537" width="3.6640625" style="4" customWidth="1"/>
    <col min="11538" max="11538" width="2.33203125" style="4" customWidth="1"/>
    <col min="11539" max="11540" width="3.6640625" style="4" customWidth="1"/>
    <col min="11541" max="11541" width="2.33203125" style="4" customWidth="1"/>
    <col min="11542" max="11543" width="3.6640625" style="4" customWidth="1"/>
    <col min="11544" max="11544" width="2.33203125" style="4" customWidth="1"/>
    <col min="11545" max="11546" width="3.6640625" style="4" customWidth="1"/>
    <col min="11547" max="11547" width="2.33203125" style="4" customWidth="1"/>
    <col min="11548" max="11549" width="3.6640625" style="4" customWidth="1"/>
    <col min="11550" max="11550" width="2.33203125" style="4" customWidth="1"/>
    <col min="11551" max="11551" width="3.6640625" style="4" customWidth="1"/>
    <col min="11552" max="11552" width="9.6640625" style="4" customWidth="1"/>
    <col min="11553" max="11562" width="3.6640625" style="4" customWidth="1"/>
    <col min="11563" max="11563" width="11" style="4" customWidth="1"/>
    <col min="11564" max="11777" width="8.88671875" style="4"/>
    <col min="11778" max="11778" width="3.6640625" style="4" customWidth="1"/>
    <col min="11779" max="11779" width="2.33203125" style="4" customWidth="1"/>
    <col min="11780" max="11781" width="3.6640625" style="4" customWidth="1"/>
    <col min="11782" max="11782" width="2.33203125" style="4" customWidth="1"/>
    <col min="11783" max="11784" width="3.6640625" style="4" customWidth="1"/>
    <col min="11785" max="11785" width="2.33203125" style="4" customWidth="1"/>
    <col min="11786" max="11787" width="3.6640625" style="4" customWidth="1"/>
    <col min="11788" max="11788" width="2.33203125" style="4" customWidth="1"/>
    <col min="11789" max="11790" width="3.6640625" style="4" customWidth="1"/>
    <col min="11791" max="11791" width="2.33203125" style="4" customWidth="1"/>
    <col min="11792" max="11793" width="3.6640625" style="4" customWidth="1"/>
    <col min="11794" max="11794" width="2.33203125" style="4" customWidth="1"/>
    <col min="11795" max="11796" width="3.6640625" style="4" customWidth="1"/>
    <col min="11797" max="11797" width="2.33203125" style="4" customWidth="1"/>
    <col min="11798" max="11799" width="3.6640625" style="4" customWidth="1"/>
    <col min="11800" max="11800" width="2.33203125" style="4" customWidth="1"/>
    <col min="11801" max="11802" width="3.6640625" style="4" customWidth="1"/>
    <col min="11803" max="11803" width="2.33203125" style="4" customWidth="1"/>
    <col min="11804" max="11805" width="3.6640625" style="4" customWidth="1"/>
    <col min="11806" max="11806" width="2.33203125" style="4" customWidth="1"/>
    <col min="11807" max="11807" width="3.6640625" style="4" customWidth="1"/>
    <col min="11808" max="11808" width="9.6640625" style="4" customWidth="1"/>
    <col min="11809" max="11818" width="3.6640625" style="4" customWidth="1"/>
    <col min="11819" max="11819" width="11" style="4" customWidth="1"/>
    <col min="11820" max="12033" width="8.88671875" style="4"/>
    <col min="12034" max="12034" width="3.6640625" style="4" customWidth="1"/>
    <col min="12035" max="12035" width="2.33203125" style="4" customWidth="1"/>
    <col min="12036" max="12037" width="3.6640625" style="4" customWidth="1"/>
    <col min="12038" max="12038" width="2.33203125" style="4" customWidth="1"/>
    <col min="12039" max="12040" width="3.6640625" style="4" customWidth="1"/>
    <col min="12041" max="12041" width="2.33203125" style="4" customWidth="1"/>
    <col min="12042" max="12043" width="3.6640625" style="4" customWidth="1"/>
    <col min="12044" max="12044" width="2.33203125" style="4" customWidth="1"/>
    <col min="12045" max="12046" width="3.6640625" style="4" customWidth="1"/>
    <col min="12047" max="12047" width="2.33203125" style="4" customWidth="1"/>
    <col min="12048" max="12049" width="3.6640625" style="4" customWidth="1"/>
    <col min="12050" max="12050" width="2.33203125" style="4" customWidth="1"/>
    <col min="12051" max="12052" width="3.6640625" style="4" customWidth="1"/>
    <col min="12053" max="12053" width="2.33203125" style="4" customWidth="1"/>
    <col min="12054" max="12055" width="3.6640625" style="4" customWidth="1"/>
    <col min="12056" max="12056" width="2.33203125" style="4" customWidth="1"/>
    <col min="12057" max="12058" width="3.6640625" style="4" customWidth="1"/>
    <col min="12059" max="12059" width="2.33203125" style="4" customWidth="1"/>
    <col min="12060" max="12061" width="3.6640625" style="4" customWidth="1"/>
    <col min="12062" max="12062" width="2.33203125" style="4" customWidth="1"/>
    <col min="12063" max="12063" width="3.6640625" style="4" customWidth="1"/>
    <col min="12064" max="12064" width="9.6640625" style="4" customWidth="1"/>
    <col min="12065" max="12074" width="3.6640625" style="4" customWidth="1"/>
    <col min="12075" max="12075" width="11" style="4" customWidth="1"/>
    <col min="12076" max="12289" width="8.88671875" style="4"/>
    <col min="12290" max="12290" width="3.6640625" style="4" customWidth="1"/>
    <col min="12291" max="12291" width="2.33203125" style="4" customWidth="1"/>
    <col min="12292" max="12293" width="3.6640625" style="4" customWidth="1"/>
    <col min="12294" max="12294" width="2.33203125" style="4" customWidth="1"/>
    <col min="12295" max="12296" width="3.6640625" style="4" customWidth="1"/>
    <col min="12297" max="12297" width="2.33203125" style="4" customWidth="1"/>
    <col min="12298" max="12299" width="3.6640625" style="4" customWidth="1"/>
    <col min="12300" max="12300" width="2.33203125" style="4" customWidth="1"/>
    <col min="12301" max="12302" width="3.6640625" style="4" customWidth="1"/>
    <col min="12303" max="12303" width="2.33203125" style="4" customWidth="1"/>
    <col min="12304" max="12305" width="3.6640625" style="4" customWidth="1"/>
    <col min="12306" max="12306" width="2.33203125" style="4" customWidth="1"/>
    <col min="12307" max="12308" width="3.6640625" style="4" customWidth="1"/>
    <col min="12309" max="12309" width="2.33203125" style="4" customWidth="1"/>
    <col min="12310" max="12311" width="3.6640625" style="4" customWidth="1"/>
    <col min="12312" max="12312" width="2.33203125" style="4" customWidth="1"/>
    <col min="12313" max="12314" width="3.6640625" style="4" customWidth="1"/>
    <col min="12315" max="12315" width="2.33203125" style="4" customWidth="1"/>
    <col min="12316" max="12317" width="3.6640625" style="4" customWidth="1"/>
    <col min="12318" max="12318" width="2.33203125" style="4" customWidth="1"/>
    <col min="12319" max="12319" width="3.6640625" style="4" customWidth="1"/>
    <col min="12320" max="12320" width="9.6640625" style="4" customWidth="1"/>
    <col min="12321" max="12330" width="3.6640625" style="4" customWidth="1"/>
    <col min="12331" max="12331" width="11" style="4" customWidth="1"/>
    <col min="12332" max="12545" width="8.88671875" style="4"/>
    <col min="12546" max="12546" width="3.6640625" style="4" customWidth="1"/>
    <col min="12547" max="12547" width="2.33203125" style="4" customWidth="1"/>
    <col min="12548" max="12549" width="3.6640625" style="4" customWidth="1"/>
    <col min="12550" max="12550" width="2.33203125" style="4" customWidth="1"/>
    <col min="12551" max="12552" width="3.6640625" style="4" customWidth="1"/>
    <col min="12553" max="12553" width="2.33203125" style="4" customWidth="1"/>
    <col min="12554" max="12555" width="3.6640625" style="4" customWidth="1"/>
    <col min="12556" max="12556" width="2.33203125" style="4" customWidth="1"/>
    <col min="12557" max="12558" width="3.6640625" style="4" customWidth="1"/>
    <col min="12559" max="12559" width="2.33203125" style="4" customWidth="1"/>
    <col min="12560" max="12561" width="3.6640625" style="4" customWidth="1"/>
    <col min="12562" max="12562" width="2.33203125" style="4" customWidth="1"/>
    <col min="12563" max="12564" width="3.6640625" style="4" customWidth="1"/>
    <col min="12565" max="12565" width="2.33203125" style="4" customWidth="1"/>
    <col min="12566" max="12567" width="3.6640625" style="4" customWidth="1"/>
    <col min="12568" max="12568" width="2.33203125" style="4" customWidth="1"/>
    <col min="12569" max="12570" width="3.6640625" style="4" customWidth="1"/>
    <col min="12571" max="12571" width="2.33203125" style="4" customWidth="1"/>
    <col min="12572" max="12573" width="3.6640625" style="4" customWidth="1"/>
    <col min="12574" max="12574" width="2.33203125" style="4" customWidth="1"/>
    <col min="12575" max="12575" width="3.6640625" style="4" customWidth="1"/>
    <col min="12576" max="12576" width="9.6640625" style="4" customWidth="1"/>
    <col min="12577" max="12586" width="3.6640625" style="4" customWidth="1"/>
    <col min="12587" max="12587" width="11" style="4" customWidth="1"/>
    <col min="12588" max="12801" width="8.88671875" style="4"/>
    <col min="12802" max="12802" width="3.6640625" style="4" customWidth="1"/>
    <col min="12803" max="12803" width="2.33203125" style="4" customWidth="1"/>
    <col min="12804" max="12805" width="3.6640625" style="4" customWidth="1"/>
    <col min="12806" max="12806" width="2.33203125" style="4" customWidth="1"/>
    <col min="12807" max="12808" width="3.6640625" style="4" customWidth="1"/>
    <col min="12809" max="12809" width="2.33203125" style="4" customWidth="1"/>
    <col min="12810" max="12811" width="3.6640625" style="4" customWidth="1"/>
    <col min="12812" max="12812" width="2.33203125" style="4" customWidth="1"/>
    <col min="12813" max="12814" width="3.6640625" style="4" customWidth="1"/>
    <col min="12815" max="12815" width="2.33203125" style="4" customWidth="1"/>
    <col min="12816" max="12817" width="3.6640625" style="4" customWidth="1"/>
    <col min="12818" max="12818" width="2.33203125" style="4" customWidth="1"/>
    <col min="12819" max="12820" width="3.6640625" style="4" customWidth="1"/>
    <col min="12821" max="12821" width="2.33203125" style="4" customWidth="1"/>
    <col min="12822" max="12823" width="3.6640625" style="4" customWidth="1"/>
    <col min="12824" max="12824" width="2.33203125" style="4" customWidth="1"/>
    <col min="12825" max="12826" width="3.6640625" style="4" customWidth="1"/>
    <col min="12827" max="12827" width="2.33203125" style="4" customWidth="1"/>
    <col min="12828" max="12829" width="3.6640625" style="4" customWidth="1"/>
    <col min="12830" max="12830" width="2.33203125" style="4" customWidth="1"/>
    <col min="12831" max="12831" width="3.6640625" style="4" customWidth="1"/>
    <col min="12832" max="12832" width="9.6640625" style="4" customWidth="1"/>
    <col min="12833" max="12842" width="3.6640625" style="4" customWidth="1"/>
    <col min="12843" max="12843" width="11" style="4" customWidth="1"/>
    <col min="12844" max="13057" width="8.88671875" style="4"/>
    <col min="13058" max="13058" width="3.6640625" style="4" customWidth="1"/>
    <col min="13059" max="13059" width="2.33203125" style="4" customWidth="1"/>
    <col min="13060" max="13061" width="3.6640625" style="4" customWidth="1"/>
    <col min="13062" max="13062" width="2.33203125" style="4" customWidth="1"/>
    <col min="13063" max="13064" width="3.6640625" style="4" customWidth="1"/>
    <col min="13065" max="13065" width="2.33203125" style="4" customWidth="1"/>
    <col min="13066" max="13067" width="3.6640625" style="4" customWidth="1"/>
    <col min="13068" max="13068" width="2.33203125" style="4" customWidth="1"/>
    <col min="13069" max="13070" width="3.6640625" style="4" customWidth="1"/>
    <col min="13071" max="13071" width="2.33203125" style="4" customWidth="1"/>
    <col min="13072" max="13073" width="3.6640625" style="4" customWidth="1"/>
    <col min="13074" max="13074" width="2.33203125" style="4" customWidth="1"/>
    <col min="13075" max="13076" width="3.6640625" style="4" customWidth="1"/>
    <col min="13077" max="13077" width="2.33203125" style="4" customWidth="1"/>
    <col min="13078" max="13079" width="3.6640625" style="4" customWidth="1"/>
    <col min="13080" max="13080" width="2.33203125" style="4" customWidth="1"/>
    <col min="13081" max="13082" width="3.6640625" style="4" customWidth="1"/>
    <col min="13083" max="13083" width="2.33203125" style="4" customWidth="1"/>
    <col min="13084" max="13085" width="3.6640625" style="4" customWidth="1"/>
    <col min="13086" max="13086" width="2.33203125" style="4" customWidth="1"/>
    <col min="13087" max="13087" width="3.6640625" style="4" customWidth="1"/>
    <col min="13088" max="13088" width="9.6640625" style="4" customWidth="1"/>
    <col min="13089" max="13098" width="3.6640625" style="4" customWidth="1"/>
    <col min="13099" max="13099" width="11" style="4" customWidth="1"/>
    <col min="13100" max="13313" width="8.88671875" style="4"/>
    <col min="13314" max="13314" width="3.6640625" style="4" customWidth="1"/>
    <col min="13315" max="13315" width="2.33203125" style="4" customWidth="1"/>
    <col min="13316" max="13317" width="3.6640625" style="4" customWidth="1"/>
    <col min="13318" max="13318" width="2.33203125" style="4" customWidth="1"/>
    <col min="13319" max="13320" width="3.6640625" style="4" customWidth="1"/>
    <col min="13321" max="13321" width="2.33203125" style="4" customWidth="1"/>
    <col min="13322" max="13323" width="3.6640625" style="4" customWidth="1"/>
    <col min="13324" max="13324" width="2.33203125" style="4" customWidth="1"/>
    <col min="13325" max="13326" width="3.6640625" style="4" customWidth="1"/>
    <col min="13327" max="13327" width="2.33203125" style="4" customWidth="1"/>
    <col min="13328" max="13329" width="3.6640625" style="4" customWidth="1"/>
    <col min="13330" max="13330" width="2.33203125" style="4" customWidth="1"/>
    <col min="13331" max="13332" width="3.6640625" style="4" customWidth="1"/>
    <col min="13333" max="13333" width="2.33203125" style="4" customWidth="1"/>
    <col min="13334" max="13335" width="3.6640625" style="4" customWidth="1"/>
    <col min="13336" max="13336" width="2.33203125" style="4" customWidth="1"/>
    <col min="13337" max="13338" width="3.6640625" style="4" customWidth="1"/>
    <col min="13339" max="13339" width="2.33203125" style="4" customWidth="1"/>
    <col min="13340" max="13341" width="3.6640625" style="4" customWidth="1"/>
    <col min="13342" max="13342" width="2.33203125" style="4" customWidth="1"/>
    <col min="13343" max="13343" width="3.6640625" style="4" customWidth="1"/>
    <col min="13344" max="13344" width="9.6640625" style="4" customWidth="1"/>
    <col min="13345" max="13354" width="3.6640625" style="4" customWidth="1"/>
    <col min="13355" max="13355" width="11" style="4" customWidth="1"/>
    <col min="13356" max="13569" width="8.88671875" style="4"/>
    <col min="13570" max="13570" width="3.6640625" style="4" customWidth="1"/>
    <col min="13571" max="13571" width="2.33203125" style="4" customWidth="1"/>
    <col min="13572" max="13573" width="3.6640625" style="4" customWidth="1"/>
    <col min="13574" max="13574" width="2.33203125" style="4" customWidth="1"/>
    <col min="13575" max="13576" width="3.6640625" style="4" customWidth="1"/>
    <col min="13577" max="13577" width="2.33203125" style="4" customWidth="1"/>
    <col min="13578" max="13579" width="3.6640625" style="4" customWidth="1"/>
    <col min="13580" max="13580" width="2.33203125" style="4" customWidth="1"/>
    <col min="13581" max="13582" width="3.6640625" style="4" customWidth="1"/>
    <col min="13583" max="13583" width="2.33203125" style="4" customWidth="1"/>
    <col min="13584" max="13585" width="3.6640625" style="4" customWidth="1"/>
    <col min="13586" max="13586" width="2.33203125" style="4" customWidth="1"/>
    <col min="13587" max="13588" width="3.6640625" style="4" customWidth="1"/>
    <col min="13589" max="13589" width="2.33203125" style="4" customWidth="1"/>
    <col min="13590" max="13591" width="3.6640625" style="4" customWidth="1"/>
    <col min="13592" max="13592" width="2.33203125" style="4" customWidth="1"/>
    <col min="13593" max="13594" width="3.6640625" style="4" customWidth="1"/>
    <col min="13595" max="13595" width="2.33203125" style="4" customWidth="1"/>
    <col min="13596" max="13597" width="3.6640625" style="4" customWidth="1"/>
    <col min="13598" max="13598" width="2.33203125" style="4" customWidth="1"/>
    <col min="13599" max="13599" width="3.6640625" style="4" customWidth="1"/>
    <col min="13600" max="13600" width="9.6640625" style="4" customWidth="1"/>
    <col min="13601" max="13610" width="3.6640625" style="4" customWidth="1"/>
    <col min="13611" max="13611" width="11" style="4" customWidth="1"/>
    <col min="13612" max="13825" width="8.88671875" style="4"/>
    <col min="13826" max="13826" width="3.6640625" style="4" customWidth="1"/>
    <col min="13827" max="13827" width="2.33203125" style="4" customWidth="1"/>
    <col min="13828" max="13829" width="3.6640625" style="4" customWidth="1"/>
    <col min="13830" max="13830" width="2.33203125" style="4" customWidth="1"/>
    <col min="13831" max="13832" width="3.6640625" style="4" customWidth="1"/>
    <col min="13833" max="13833" width="2.33203125" style="4" customWidth="1"/>
    <col min="13834" max="13835" width="3.6640625" style="4" customWidth="1"/>
    <col min="13836" max="13836" width="2.33203125" style="4" customWidth="1"/>
    <col min="13837" max="13838" width="3.6640625" style="4" customWidth="1"/>
    <col min="13839" max="13839" width="2.33203125" style="4" customWidth="1"/>
    <col min="13840" max="13841" width="3.6640625" style="4" customWidth="1"/>
    <col min="13842" max="13842" width="2.33203125" style="4" customWidth="1"/>
    <col min="13843" max="13844" width="3.6640625" style="4" customWidth="1"/>
    <col min="13845" max="13845" width="2.33203125" style="4" customWidth="1"/>
    <col min="13846" max="13847" width="3.6640625" style="4" customWidth="1"/>
    <col min="13848" max="13848" width="2.33203125" style="4" customWidth="1"/>
    <col min="13849" max="13850" width="3.6640625" style="4" customWidth="1"/>
    <col min="13851" max="13851" width="2.33203125" style="4" customWidth="1"/>
    <col min="13852" max="13853" width="3.6640625" style="4" customWidth="1"/>
    <col min="13854" max="13854" width="2.33203125" style="4" customWidth="1"/>
    <col min="13855" max="13855" width="3.6640625" style="4" customWidth="1"/>
    <col min="13856" max="13856" width="9.6640625" style="4" customWidth="1"/>
    <col min="13857" max="13866" width="3.6640625" style="4" customWidth="1"/>
    <col min="13867" max="13867" width="11" style="4" customWidth="1"/>
    <col min="13868" max="14081" width="8.88671875" style="4"/>
    <col min="14082" max="14082" width="3.6640625" style="4" customWidth="1"/>
    <col min="14083" max="14083" width="2.33203125" style="4" customWidth="1"/>
    <col min="14084" max="14085" width="3.6640625" style="4" customWidth="1"/>
    <col min="14086" max="14086" width="2.33203125" style="4" customWidth="1"/>
    <col min="14087" max="14088" width="3.6640625" style="4" customWidth="1"/>
    <col min="14089" max="14089" width="2.33203125" style="4" customWidth="1"/>
    <col min="14090" max="14091" width="3.6640625" style="4" customWidth="1"/>
    <col min="14092" max="14092" width="2.33203125" style="4" customWidth="1"/>
    <col min="14093" max="14094" width="3.6640625" style="4" customWidth="1"/>
    <col min="14095" max="14095" width="2.33203125" style="4" customWidth="1"/>
    <col min="14096" max="14097" width="3.6640625" style="4" customWidth="1"/>
    <col min="14098" max="14098" width="2.33203125" style="4" customWidth="1"/>
    <col min="14099" max="14100" width="3.6640625" style="4" customWidth="1"/>
    <col min="14101" max="14101" width="2.33203125" style="4" customWidth="1"/>
    <col min="14102" max="14103" width="3.6640625" style="4" customWidth="1"/>
    <col min="14104" max="14104" width="2.33203125" style="4" customWidth="1"/>
    <col min="14105" max="14106" width="3.6640625" style="4" customWidth="1"/>
    <col min="14107" max="14107" width="2.33203125" style="4" customWidth="1"/>
    <col min="14108" max="14109" width="3.6640625" style="4" customWidth="1"/>
    <col min="14110" max="14110" width="2.33203125" style="4" customWidth="1"/>
    <col min="14111" max="14111" width="3.6640625" style="4" customWidth="1"/>
    <col min="14112" max="14112" width="9.6640625" style="4" customWidth="1"/>
    <col min="14113" max="14122" width="3.6640625" style="4" customWidth="1"/>
    <col min="14123" max="14123" width="11" style="4" customWidth="1"/>
    <col min="14124" max="14337" width="8.88671875" style="4"/>
    <col min="14338" max="14338" width="3.6640625" style="4" customWidth="1"/>
    <col min="14339" max="14339" width="2.33203125" style="4" customWidth="1"/>
    <col min="14340" max="14341" width="3.6640625" style="4" customWidth="1"/>
    <col min="14342" max="14342" width="2.33203125" style="4" customWidth="1"/>
    <col min="14343" max="14344" width="3.6640625" style="4" customWidth="1"/>
    <col min="14345" max="14345" width="2.33203125" style="4" customWidth="1"/>
    <col min="14346" max="14347" width="3.6640625" style="4" customWidth="1"/>
    <col min="14348" max="14348" width="2.33203125" style="4" customWidth="1"/>
    <col min="14349" max="14350" width="3.6640625" style="4" customWidth="1"/>
    <col min="14351" max="14351" width="2.33203125" style="4" customWidth="1"/>
    <col min="14352" max="14353" width="3.6640625" style="4" customWidth="1"/>
    <col min="14354" max="14354" width="2.33203125" style="4" customWidth="1"/>
    <col min="14355" max="14356" width="3.6640625" style="4" customWidth="1"/>
    <col min="14357" max="14357" width="2.33203125" style="4" customWidth="1"/>
    <col min="14358" max="14359" width="3.6640625" style="4" customWidth="1"/>
    <col min="14360" max="14360" width="2.33203125" style="4" customWidth="1"/>
    <col min="14361" max="14362" width="3.6640625" style="4" customWidth="1"/>
    <col min="14363" max="14363" width="2.33203125" style="4" customWidth="1"/>
    <col min="14364" max="14365" width="3.6640625" style="4" customWidth="1"/>
    <col min="14366" max="14366" width="2.33203125" style="4" customWidth="1"/>
    <col min="14367" max="14367" width="3.6640625" style="4" customWidth="1"/>
    <col min="14368" max="14368" width="9.6640625" style="4" customWidth="1"/>
    <col min="14369" max="14378" width="3.6640625" style="4" customWidth="1"/>
    <col min="14379" max="14379" width="11" style="4" customWidth="1"/>
    <col min="14380" max="14593" width="8.88671875" style="4"/>
    <col min="14594" max="14594" width="3.6640625" style="4" customWidth="1"/>
    <col min="14595" max="14595" width="2.33203125" style="4" customWidth="1"/>
    <col min="14596" max="14597" width="3.6640625" style="4" customWidth="1"/>
    <col min="14598" max="14598" width="2.33203125" style="4" customWidth="1"/>
    <col min="14599" max="14600" width="3.6640625" style="4" customWidth="1"/>
    <col min="14601" max="14601" width="2.33203125" style="4" customWidth="1"/>
    <col min="14602" max="14603" width="3.6640625" style="4" customWidth="1"/>
    <col min="14604" max="14604" width="2.33203125" style="4" customWidth="1"/>
    <col min="14605" max="14606" width="3.6640625" style="4" customWidth="1"/>
    <col min="14607" max="14607" width="2.33203125" style="4" customWidth="1"/>
    <col min="14608" max="14609" width="3.6640625" style="4" customWidth="1"/>
    <col min="14610" max="14610" width="2.33203125" style="4" customWidth="1"/>
    <col min="14611" max="14612" width="3.6640625" style="4" customWidth="1"/>
    <col min="14613" max="14613" width="2.33203125" style="4" customWidth="1"/>
    <col min="14614" max="14615" width="3.6640625" style="4" customWidth="1"/>
    <col min="14616" max="14616" width="2.33203125" style="4" customWidth="1"/>
    <col min="14617" max="14618" width="3.6640625" style="4" customWidth="1"/>
    <col min="14619" max="14619" width="2.33203125" style="4" customWidth="1"/>
    <col min="14620" max="14621" width="3.6640625" style="4" customWidth="1"/>
    <col min="14622" max="14622" width="2.33203125" style="4" customWidth="1"/>
    <col min="14623" max="14623" width="3.6640625" style="4" customWidth="1"/>
    <col min="14624" max="14624" width="9.6640625" style="4" customWidth="1"/>
    <col min="14625" max="14634" width="3.6640625" style="4" customWidth="1"/>
    <col min="14635" max="14635" width="11" style="4" customWidth="1"/>
    <col min="14636" max="14849" width="8.88671875" style="4"/>
    <col min="14850" max="14850" width="3.6640625" style="4" customWidth="1"/>
    <col min="14851" max="14851" width="2.33203125" style="4" customWidth="1"/>
    <col min="14852" max="14853" width="3.6640625" style="4" customWidth="1"/>
    <col min="14854" max="14854" width="2.33203125" style="4" customWidth="1"/>
    <col min="14855" max="14856" width="3.6640625" style="4" customWidth="1"/>
    <col min="14857" max="14857" width="2.33203125" style="4" customWidth="1"/>
    <col min="14858" max="14859" width="3.6640625" style="4" customWidth="1"/>
    <col min="14860" max="14860" width="2.33203125" style="4" customWidth="1"/>
    <col min="14861" max="14862" width="3.6640625" style="4" customWidth="1"/>
    <col min="14863" max="14863" width="2.33203125" style="4" customWidth="1"/>
    <col min="14864" max="14865" width="3.6640625" style="4" customWidth="1"/>
    <col min="14866" max="14866" width="2.33203125" style="4" customWidth="1"/>
    <col min="14867" max="14868" width="3.6640625" style="4" customWidth="1"/>
    <col min="14869" max="14869" width="2.33203125" style="4" customWidth="1"/>
    <col min="14870" max="14871" width="3.6640625" style="4" customWidth="1"/>
    <col min="14872" max="14872" width="2.33203125" style="4" customWidth="1"/>
    <col min="14873" max="14874" width="3.6640625" style="4" customWidth="1"/>
    <col min="14875" max="14875" width="2.33203125" style="4" customWidth="1"/>
    <col min="14876" max="14877" width="3.6640625" style="4" customWidth="1"/>
    <col min="14878" max="14878" width="2.33203125" style="4" customWidth="1"/>
    <col min="14879" max="14879" width="3.6640625" style="4" customWidth="1"/>
    <col min="14880" max="14880" width="9.6640625" style="4" customWidth="1"/>
    <col min="14881" max="14890" width="3.6640625" style="4" customWidth="1"/>
    <col min="14891" max="14891" width="11" style="4" customWidth="1"/>
    <col min="14892" max="15105" width="8.88671875" style="4"/>
    <col min="15106" max="15106" width="3.6640625" style="4" customWidth="1"/>
    <col min="15107" max="15107" width="2.33203125" style="4" customWidth="1"/>
    <col min="15108" max="15109" width="3.6640625" style="4" customWidth="1"/>
    <col min="15110" max="15110" width="2.33203125" style="4" customWidth="1"/>
    <col min="15111" max="15112" width="3.6640625" style="4" customWidth="1"/>
    <col min="15113" max="15113" width="2.33203125" style="4" customWidth="1"/>
    <col min="15114" max="15115" width="3.6640625" style="4" customWidth="1"/>
    <col min="15116" max="15116" width="2.33203125" style="4" customWidth="1"/>
    <col min="15117" max="15118" width="3.6640625" style="4" customWidth="1"/>
    <col min="15119" max="15119" width="2.33203125" style="4" customWidth="1"/>
    <col min="15120" max="15121" width="3.6640625" style="4" customWidth="1"/>
    <col min="15122" max="15122" width="2.33203125" style="4" customWidth="1"/>
    <col min="15123" max="15124" width="3.6640625" style="4" customWidth="1"/>
    <col min="15125" max="15125" width="2.33203125" style="4" customWidth="1"/>
    <col min="15126" max="15127" width="3.6640625" style="4" customWidth="1"/>
    <col min="15128" max="15128" width="2.33203125" style="4" customWidth="1"/>
    <col min="15129" max="15130" width="3.6640625" style="4" customWidth="1"/>
    <col min="15131" max="15131" width="2.33203125" style="4" customWidth="1"/>
    <col min="15132" max="15133" width="3.6640625" style="4" customWidth="1"/>
    <col min="15134" max="15134" width="2.33203125" style="4" customWidth="1"/>
    <col min="15135" max="15135" width="3.6640625" style="4" customWidth="1"/>
    <col min="15136" max="15136" width="9.6640625" style="4" customWidth="1"/>
    <col min="15137" max="15146" width="3.6640625" style="4" customWidth="1"/>
    <col min="15147" max="15147" width="11" style="4" customWidth="1"/>
    <col min="15148" max="15361" width="8.88671875" style="4"/>
    <col min="15362" max="15362" width="3.6640625" style="4" customWidth="1"/>
    <col min="15363" max="15363" width="2.33203125" style="4" customWidth="1"/>
    <col min="15364" max="15365" width="3.6640625" style="4" customWidth="1"/>
    <col min="15366" max="15366" width="2.33203125" style="4" customWidth="1"/>
    <col min="15367" max="15368" width="3.6640625" style="4" customWidth="1"/>
    <col min="15369" max="15369" width="2.33203125" style="4" customWidth="1"/>
    <col min="15370" max="15371" width="3.6640625" style="4" customWidth="1"/>
    <col min="15372" max="15372" width="2.33203125" style="4" customWidth="1"/>
    <col min="15373" max="15374" width="3.6640625" style="4" customWidth="1"/>
    <col min="15375" max="15375" width="2.33203125" style="4" customWidth="1"/>
    <col min="15376" max="15377" width="3.6640625" style="4" customWidth="1"/>
    <col min="15378" max="15378" width="2.33203125" style="4" customWidth="1"/>
    <col min="15379" max="15380" width="3.6640625" style="4" customWidth="1"/>
    <col min="15381" max="15381" width="2.33203125" style="4" customWidth="1"/>
    <col min="15382" max="15383" width="3.6640625" style="4" customWidth="1"/>
    <col min="15384" max="15384" width="2.33203125" style="4" customWidth="1"/>
    <col min="15385" max="15386" width="3.6640625" style="4" customWidth="1"/>
    <col min="15387" max="15387" width="2.33203125" style="4" customWidth="1"/>
    <col min="15388" max="15389" width="3.6640625" style="4" customWidth="1"/>
    <col min="15390" max="15390" width="2.33203125" style="4" customWidth="1"/>
    <col min="15391" max="15391" width="3.6640625" style="4" customWidth="1"/>
    <col min="15392" max="15392" width="9.6640625" style="4" customWidth="1"/>
    <col min="15393" max="15402" width="3.6640625" style="4" customWidth="1"/>
    <col min="15403" max="15403" width="11" style="4" customWidth="1"/>
    <col min="15404" max="15617" width="8.88671875" style="4"/>
    <col min="15618" max="15618" width="3.6640625" style="4" customWidth="1"/>
    <col min="15619" max="15619" width="2.33203125" style="4" customWidth="1"/>
    <col min="15620" max="15621" width="3.6640625" style="4" customWidth="1"/>
    <col min="15622" max="15622" width="2.33203125" style="4" customWidth="1"/>
    <col min="15623" max="15624" width="3.6640625" style="4" customWidth="1"/>
    <col min="15625" max="15625" width="2.33203125" style="4" customWidth="1"/>
    <col min="15626" max="15627" width="3.6640625" style="4" customWidth="1"/>
    <col min="15628" max="15628" width="2.33203125" style="4" customWidth="1"/>
    <col min="15629" max="15630" width="3.6640625" style="4" customWidth="1"/>
    <col min="15631" max="15631" width="2.33203125" style="4" customWidth="1"/>
    <col min="15632" max="15633" width="3.6640625" style="4" customWidth="1"/>
    <col min="15634" max="15634" width="2.33203125" style="4" customWidth="1"/>
    <col min="15635" max="15636" width="3.6640625" style="4" customWidth="1"/>
    <col min="15637" max="15637" width="2.33203125" style="4" customWidth="1"/>
    <col min="15638" max="15639" width="3.6640625" style="4" customWidth="1"/>
    <col min="15640" max="15640" width="2.33203125" style="4" customWidth="1"/>
    <col min="15641" max="15642" width="3.6640625" style="4" customWidth="1"/>
    <col min="15643" max="15643" width="2.33203125" style="4" customWidth="1"/>
    <col min="15644" max="15645" width="3.6640625" style="4" customWidth="1"/>
    <col min="15646" max="15646" width="2.33203125" style="4" customWidth="1"/>
    <col min="15647" max="15647" width="3.6640625" style="4" customWidth="1"/>
    <col min="15648" max="15648" width="9.6640625" style="4" customWidth="1"/>
    <col min="15649" max="15658" width="3.6640625" style="4" customWidth="1"/>
    <col min="15659" max="15659" width="11" style="4" customWidth="1"/>
    <col min="15660" max="15873" width="8.88671875" style="4"/>
    <col min="15874" max="15874" width="3.6640625" style="4" customWidth="1"/>
    <col min="15875" max="15875" width="2.33203125" style="4" customWidth="1"/>
    <col min="15876" max="15877" width="3.6640625" style="4" customWidth="1"/>
    <col min="15878" max="15878" width="2.33203125" style="4" customWidth="1"/>
    <col min="15879" max="15880" width="3.6640625" style="4" customWidth="1"/>
    <col min="15881" max="15881" width="2.33203125" style="4" customWidth="1"/>
    <col min="15882" max="15883" width="3.6640625" style="4" customWidth="1"/>
    <col min="15884" max="15884" width="2.33203125" style="4" customWidth="1"/>
    <col min="15885" max="15886" width="3.6640625" style="4" customWidth="1"/>
    <col min="15887" max="15887" width="2.33203125" style="4" customWidth="1"/>
    <col min="15888" max="15889" width="3.6640625" style="4" customWidth="1"/>
    <col min="15890" max="15890" width="2.33203125" style="4" customWidth="1"/>
    <col min="15891" max="15892" width="3.6640625" style="4" customWidth="1"/>
    <col min="15893" max="15893" width="2.33203125" style="4" customWidth="1"/>
    <col min="15894" max="15895" width="3.6640625" style="4" customWidth="1"/>
    <col min="15896" max="15896" width="2.33203125" style="4" customWidth="1"/>
    <col min="15897" max="15898" width="3.6640625" style="4" customWidth="1"/>
    <col min="15899" max="15899" width="2.33203125" style="4" customWidth="1"/>
    <col min="15900" max="15901" width="3.6640625" style="4" customWidth="1"/>
    <col min="15902" max="15902" width="2.33203125" style="4" customWidth="1"/>
    <col min="15903" max="15903" width="3.6640625" style="4" customWidth="1"/>
    <col min="15904" max="15904" width="9.6640625" style="4" customWidth="1"/>
    <col min="15905" max="15914" width="3.6640625" style="4" customWidth="1"/>
    <col min="15915" max="15915" width="11" style="4" customWidth="1"/>
    <col min="15916" max="16129" width="8.88671875" style="4"/>
    <col min="16130" max="16130" width="3.6640625" style="4" customWidth="1"/>
    <col min="16131" max="16131" width="2.33203125" style="4" customWidth="1"/>
    <col min="16132" max="16133" width="3.6640625" style="4" customWidth="1"/>
    <col min="16134" max="16134" width="2.33203125" style="4" customWidth="1"/>
    <col min="16135" max="16136" width="3.6640625" style="4" customWidth="1"/>
    <col min="16137" max="16137" width="2.33203125" style="4" customWidth="1"/>
    <col min="16138" max="16139" width="3.6640625" style="4" customWidth="1"/>
    <col min="16140" max="16140" width="2.33203125" style="4" customWidth="1"/>
    <col min="16141" max="16142" width="3.6640625" style="4" customWidth="1"/>
    <col min="16143" max="16143" width="2.33203125" style="4" customWidth="1"/>
    <col min="16144" max="16145" width="3.6640625" style="4" customWidth="1"/>
    <col min="16146" max="16146" width="2.33203125" style="4" customWidth="1"/>
    <col min="16147" max="16148" width="3.6640625" style="4" customWidth="1"/>
    <col min="16149" max="16149" width="2.33203125" style="4" customWidth="1"/>
    <col min="16150" max="16151" width="3.6640625" style="4" customWidth="1"/>
    <col min="16152" max="16152" width="2.33203125" style="4" customWidth="1"/>
    <col min="16153" max="16154" width="3.6640625" style="4" customWidth="1"/>
    <col min="16155" max="16155" width="2.33203125" style="4" customWidth="1"/>
    <col min="16156" max="16157" width="3.6640625" style="4" customWidth="1"/>
    <col min="16158" max="16158" width="2.33203125" style="4" customWidth="1"/>
    <col min="16159" max="16159" width="3.6640625" style="4" customWidth="1"/>
    <col min="16160" max="16160" width="9.6640625" style="4" customWidth="1"/>
    <col min="16161" max="16170" width="3.6640625" style="4" customWidth="1"/>
    <col min="16171" max="16171" width="11" style="4" customWidth="1"/>
    <col min="16172" max="16384" width="8.88671875" style="4"/>
  </cols>
  <sheetData>
    <row r="1" spans="1:53" ht="13.8" thickBot="1" x14ac:dyDescent="0.3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1"/>
      <c r="AK1" s="1"/>
      <c r="AL1" s="1"/>
      <c r="AM1" s="1"/>
      <c r="AN1" s="1"/>
      <c r="AO1" s="1"/>
      <c r="AP1" s="1"/>
      <c r="AQ1" s="2" t="s">
        <v>1</v>
      </c>
      <c r="AR1" s="3"/>
      <c r="AT1" s="282" t="s">
        <v>2</v>
      </c>
      <c r="AU1" s="283"/>
      <c r="AV1" s="284"/>
      <c r="AZ1" s="5" t="s">
        <v>3</v>
      </c>
      <c r="BA1" s="4">
        <v>16</v>
      </c>
    </row>
    <row r="2" spans="1:53" ht="18.75" customHeight="1" thickBot="1" x14ac:dyDescent="0.35">
      <c r="A2" s="285" t="s">
        <v>4</v>
      </c>
      <c r="B2" s="286"/>
      <c r="C2" s="286"/>
      <c r="D2" s="286"/>
      <c r="E2" s="286"/>
      <c r="F2" s="286"/>
      <c r="G2" s="286"/>
      <c r="H2" s="286"/>
      <c r="I2" s="287"/>
      <c r="J2" s="288" t="s">
        <v>5</v>
      </c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90"/>
      <c r="Y2" s="291" t="s">
        <v>6</v>
      </c>
      <c r="Z2" s="292"/>
      <c r="AA2" s="292"/>
      <c r="AB2" s="292"/>
      <c r="AC2" s="293"/>
      <c r="AD2" s="265"/>
      <c r="AE2" s="265"/>
      <c r="AF2" s="265"/>
      <c r="AG2" s="265"/>
      <c r="AH2" s="265"/>
      <c r="AI2" s="266"/>
      <c r="AJ2" s="6"/>
      <c r="AK2" s="6"/>
      <c r="AL2" s="6"/>
      <c r="AM2" s="6"/>
      <c r="AN2" s="6"/>
      <c r="AO2" s="6"/>
      <c r="AP2" s="6"/>
      <c r="AQ2" s="6"/>
      <c r="AR2" s="3"/>
      <c r="AT2" s="7" t="s">
        <v>7</v>
      </c>
      <c r="AU2" s="8" t="s">
        <v>8</v>
      </c>
      <c r="AV2" s="9" t="s">
        <v>9</v>
      </c>
      <c r="AW2" s="10" t="s">
        <v>10</v>
      </c>
      <c r="AX2" s="11" t="s">
        <v>11</v>
      </c>
      <c r="AY2" s="10" t="s">
        <v>12</v>
      </c>
      <c r="AZ2" s="5" t="s">
        <v>13</v>
      </c>
      <c r="BA2" s="4">
        <v>16</v>
      </c>
    </row>
    <row r="3" spans="1:53" ht="18.75" customHeight="1" thickBot="1" x14ac:dyDescent="0.35">
      <c r="A3" s="12" t="s">
        <v>14</v>
      </c>
      <c r="B3" s="267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9"/>
      <c r="P3" s="270" t="s">
        <v>15</v>
      </c>
      <c r="Q3" s="271"/>
      <c r="R3" s="271"/>
      <c r="S3" s="272"/>
      <c r="T3" s="273"/>
      <c r="U3" s="273"/>
      <c r="V3" s="273"/>
      <c r="W3" s="273"/>
      <c r="X3" s="274"/>
      <c r="Y3" s="275" t="s">
        <v>16</v>
      </c>
      <c r="Z3" s="276"/>
      <c r="AA3" s="276"/>
      <c r="AB3" s="276"/>
      <c r="AC3" s="276"/>
      <c r="AD3" s="277"/>
      <c r="AE3" s="278" t="s">
        <v>17</v>
      </c>
      <c r="AF3" s="279"/>
      <c r="AG3" s="279" t="s">
        <v>18</v>
      </c>
      <c r="AH3" s="279"/>
      <c r="AI3" s="280"/>
      <c r="AJ3" s="6"/>
      <c r="AK3" s="6"/>
      <c r="AL3" s="6"/>
      <c r="AM3" s="6"/>
      <c r="AN3" s="6"/>
      <c r="AO3" s="6"/>
      <c r="AP3" s="6"/>
      <c r="AQ3" s="6"/>
      <c r="AR3" s="3"/>
      <c r="AT3" s="13">
        <v>1</v>
      </c>
      <c r="AU3" s="298" t="s">
        <v>450</v>
      </c>
      <c r="AV3" s="298" t="s">
        <v>451</v>
      </c>
      <c r="AW3" s="15">
        <f>VLOOKUP(AV3,'AM r1'!AV$3:AX$12, 3, FALSE)</f>
        <v>1246.5304984710244</v>
      </c>
      <c r="AX3" s="16">
        <f>VLOOKUP(AU3,AT$79:AU$234,2,FALSE)</f>
        <v>1254.9815924153156</v>
      </c>
      <c r="AY3" s="17">
        <f>IF(ISNA(VLOOKUP(AU3,AT$248:AU$348,2,FALSE)),AX3,VLOOKUP(AU3,AT$248:AU$348,2,FALSE))</f>
        <v>1254.9815924153156</v>
      </c>
    </row>
    <row r="4" spans="1:53" ht="24" customHeight="1" thickBot="1" x14ac:dyDescent="0.3">
      <c r="A4" s="258" t="s">
        <v>19</v>
      </c>
      <c r="B4" s="259"/>
      <c r="C4" s="259"/>
      <c r="D4" s="260"/>
      <c r="E4" s="261"/>
      <c r="F4" s="262"/>
      <c r="G4" s="262"/>
      <c r="H4" s="262"/>
      <c r="I4" s="262"/>
      <c r="J4" s="262"/>
      <c r="K4" s="262"/>
      <c r="L4" s="262"/>
      <c r="M4" s="263"/>
      <c r="N4" s="258" t="s">
        <v>20</v>
      </c>
      <c r="O4" s="259"/>
      <c r="P4" s="259"/>
      <c r="Q4" s="260"/>
      <c r="R4" s="264"/>
      <c r="S4" s="265"/>
      <c r="T4" s="265"/>
      <c r="U4" s="265"/>
      <c r="V4" s="265"/>
      <c r="W4" s="265"/>
      <c r="X4" s="265"/>
      <c r="Y4" s="265"/>
      <c r="Z4" s="265"/>
      <c r="AA4" s="266"/>
      <c r="AB4" s="258" t="s">
        <v>21</v>
      </c>
      <c r="AC4" s="259"/>
      <c r="AD4" s="259"/>
      <c r="AE4" s="260"/>
      <c r="AF4" s="264"/>
      <c r="AG4" s="265"/>
      <c r="AH4" s="265"/>
      <c r="AI4" s="266"/>
      <c r="AJ4" s="6"/>
      <c r="AK4" s="6"/>
      <c r="AL4" s="6"/>
      <c r="AM4" s="6"/>
      <c r="AN4" s="6"/>
      <c r="AO4" s="6"/>
      <c r="AP4" s="6"/>
      <c r="AQ4" s="6"/>
      <c r="AR4" s="3"/>
      <c r="AT4" s="18">
        <v>2</v>
      </c>
      <c r="AU4" s="298" t="s">
        <v>191</v>
      </c>
      <c r="AV4" s="298" t="s">
        <v>446</v>
      </c>
      <c r="AW4" s="15">
        <f>VLOOKUP(AV4,'AM r1'!AV$3:AX$12, 3, FALSE)</f>
        <v>1185.4695015289756</v>
      </c>
      <c r="AX4" s="19">
        <f>VLOOKUP(AU4,AT$79:AU$234,2,FALSE)</f>
        <v>1176.7200547305524</v>
      </c>
      <c r="AY4" s="20">
        <f>IF(ISNA(VLOOKUP(AU4,AT$248:AU$348,2,FALSE)),AX4,VLOOKUP(AU4,AT$248:AU$348,2,FALSE))</f>
        <v>1176.7200547305524</v>
      </c>
    </row>
    <row r="5" spans="1:53" ht="15.6" thickBot="1" x14ac:dyDescent="0.3">
      <c r="A5" s="1" t="s">
        <v>24</v>
      </c>
      <c r="B5" s="255" t="s">
        <v>24</v>
      </c>
      <c r="C5" s="256"/>
      <c r="D5" s="256"/>
      <c r="E5" s="256"/>
      <c r="F5" s="256"/>
      <c r="G5" s="256"/>
      <c r="H5" s="256"/>
      <c r="I5" s="256"/>
      <c r="J5" s="256"/>
      <c r="K5" s="257" t="s">
        <v>24</v>
      </c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3"/>
      <c r="AT5" s="18">
        <v>3</v>
      </c>
      <c r="AU5" s="298" t="s">
        <v>40</v>
      </c>
      <c r="AV5" s="298" t="s">
        <v>449</v>
      </c>
      <c r="AW5" s="15">
        <f>VLOOKUP(AV5,'AM r1'!AV$3:AX$12, 3, FALSE)</f>
        <v>1178.8739916110649</v>
      </c>
      <c r="AX5" s="19">
        <f>VLOOKUP(AU5,AT$79:AU$234,2,FALSE)</f>
        <v>1201.9833075891768</v>
      </c>
      <c r="AY5" s="20">
        <f>IF(ISNA(VLOOKUP(AU5,AT$248:AU$348,2,FALSE)),AX5,VLOOKUP(AU5,AT$248:AU$348,2,FALSE))</f>
        <v>1201.9833075891768</v>
      </c>
    </row>
    <row r="6" spans="1:53" ht="24" customHeight="1" thickBot="1" x14ac:dyDescent="0.3">
      <c r="A6" s="21" t="s">
        <v>26</v>
      </c>
      <c r="B6" s="22" t="s">
        <v>27</v>
      </c>
      <c r="C6" s="230" t="s">
        <v>28</v>
      </c>
      <c r="D6" s="231"/>
      <c r="E6" s="231"/>
      <c r="F6" s="231"/>
      <c r="G6" s="231"/>
      <c r="H6" s="232"/>
      <c r="I6" s="233">
        <v>1</v>
      </c>
      <c r="J6" s="234"/>
      <c r="K6" s="235" t="str">
        <f>"Pool "&amp;B6&amp;" - Round 1 - Court "&amp;I6</f>
        <v>Pool AA - Round 1 - Court 1</v>
      </c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7"/>
      <c r="AJ6" s="6"/>
      <c r="AK6" s="6"/>
      <c r="AL6" s="6"/>
      <c r="AM6" s="6"/>
      <c r="AN6" s="6"/>
      <c r="AO6" s="6"/>
      <c r="AP6" s="6"/>
      <c r="AQ6" s="6"/>
      <c r="AT6" s="18">
        <v>4</v>
      </c>
      <c r="AU6" s="298" t="s">
        <v>198</v>
      </c>
      <c r="AV6" s="298" t="s">
        <v>453</v>
      </c>
      <c r="AW6" s="15">
        <f>VLOOKUP(AV6,'AM r1'!AV$3:AX$12, 3, FALSE)</f>
        <v>1186.5140380302898</v>
      </c>
      <c r="AX6" s="19">
        <f>VLOOKUP(AU6,AT$79:AU$234,2,FALSE)</f>
        <v>1168.7870094576099</v>
      </c>
      <c r="AY6" s="20">
        <f>IF(ISNA(VLOOKUP(AU6,AT$248:AU$348,2,FALSE)),AX6,VLOOKUP(AU6,AT$248:AU$348,2,FALSE))</f>
        <v>1168.7870094576099</v>
      </c>
    </row>
    <row r="7" spans="1:53" ht="27" customHeight="1" thickBot="1" x14ac:dyDescent="0.3">
      <c r="A7" s="23" t="s">
        <v>31</v>
      </c>
      <c r="B7" s="238" t="s">
        <v>8</v>
      </c>
      <c r="C7" s="239"/>
      <c r="D7" s="239"/>
      <c r="E7" s="239"/>
      <c r="F7" s="239"/>
      <c r="G7" s="239"/>
      <c r="H7" s="239"/>
      <c r="I7" s="239"/>
      <c r="J7" s="239"/>
      <c r="K7" s="239"/>
      <c r="L7" s="238" t="str">
        <f>IF($AK10=0,"Games Won","Matches Won")</f>
        <v>Matches Won</v>
      </c>
      <c r="M7" s="239"/>
      <c r="N7" s="239"/>
      <c r="O7" s="239"/>
      <c r="P7" s="239"/>
      <c r="Q7" s="240"/>
      <c r="R7" s="238" t="str">
        <f>IF($AK10=0,"Games Lost","Matches Lost")</f>
        <v>Matches Lost</v>
      </c>
      <c r="S7" s="241"/>
      <c r="T7" s="241"/>
      <c r="U7" s="241"/>
      <c r="V7" s="242"/>
      <c r="W7" s="243" t="s">
        <v>32</v>
      </c>
      <c r="X7" s="244"/>
      <c r="Y7" s="245"/>
      <c r="Z7" s="243" t="s">
        <v>33</v>
      </c>
      <c r="AA7" s="244"/>
      <c r="AB7" s="245"/>
      <c r="AC7" s="246" t="s">
        <v>34</v>
      </c>
      <c r="AD7" s="247"/>
      <c r="AE7" s="248"/>
      <c r="AF7" s="24" t="s">
        <v>35</v>
      </c>
      <c r="AG7" s="25" t="s">
        <v>7</v>
      </c>
      <c r="AH7" s="228" t="s">
        <v>36</v>
      </c>
      <c r="AI7" s="229"/>
      <c r="AJ7" s="26"/>
      <c r="AK7" s="27">
        <v>1</v>
      </c>
      <c r="AL7" s="28" t="s">
        <v>37</v>
      </c>
      <c r="AM7" s="28"/>
      <c r="AN7" s="28"/>
      <c r="AO7" s="28"/>
      <c r="AP7" s="28"/>
      <c r="AQ7" s="28"/>
      <c r="AR7" s="29"/>
      <c r="AT7" s="18">
        <v>5</v>
      </c>
      <c r="AU7" s="298" t="s">
        <v>447</v>
      </c>
      <c r="AV7" s="298" t="s">
        <v>448</v>
      </c>
      <c r="AW7" s="15">
        <f>VLOOKUP(AV7,'AM r1'!AV$3:AX$12, 3, FALSE)</f>
        <v>1379.4866939693193</v>
      </c>
      <c r="AX7" s="19">
        <f>VLOOKUP(AU7,AT$79:AU$234,2,FALSE)</f>
        <v>1376.8957801204724</v>
      </c>
      <c r="AY7" s="20">
        <f>IF(ISNA(VLOOKUP(AU7,AT$248:AU$348,2,FALSE)),AX7,VLOOKUP(AU7,AT$248:AU$348,2,FALSE))</f>
        <v>1376.8957801204724</v>
      </c>
    </row>
    <row r="8" spans="1:53" ht="18.75" customHeight="1" thickBot="1" x14ac:dyDescent="0.3">
      <c r="A8" s="194" t="str">
        <f>IF($AK9&gt;0,"1","")</f>
        <v>1</v>
      </c>
      <c r="B8" s="225" t="s">
        <v>8</v>
      </c>
      <c r="C8" s="226"/>
      <c r="D8" s="227"/>
      <c r="E8" s="217" t="str">
        <f>AU3</f>
        <v>Excell Palmetto State 12</v>
      </c>
      <c r="F8" s="218"/>
      <c r="G8" s="218"/>
      <c r="H8" s="218"/>
      <c r="I8" s="218"/>
      <c r="J8" s="218"/>
      <c r="K8" s="219"/>
      <c r="L8" s="201">
        <f>IF($AK10=0,AF64,AF46)</f>
        <v>2</v>
      </c>
      <c r="M8" s="202"/>
      <c r="N8" s="202"/>
      <c r="O8" s="202"/>
      <c r="P8" s="202"/>
      <c r="Q8" s="240"/>
      <c r="R8" s="201">
        <f>IF($AK10=0,AG64,AG46)</f>
        <v>1</v>
      </c>
      <c r="S8" s="202"/>
      <c r="T8" s="202"/>
      <c r="U8" s="202"/>
      <c r="V8" s="202"/>
      <c r="W8" s="201">
        <f>AQ24</f>
        <v>10</v>
      </c>
      <c r="X8" s="202"/>
      <c r="Y8" s="202"/>
      <c r="Z8" s="174">
        <f>IF(AF58&gt;0,(AQ24/AF58),0)</f>
        <v>0.19230769230769232</v>
      </c>
      <c r="AA8" s="175"/>
      <c r="AB8" s="175"/>
      <c r="AC8" s="178">
        <f>IF(AF72=0,0,(AF64/AF72))</f>
        <v>0.66666666666666663</v>
      </c>
      <c r="AD8" s="179"/>
      <c r="AE8" s="180"/>
      <c r="AF8" s="184">
        <v>2</v>
      </c>
      <c r="AG8" s="184">
        <v>4</v>
      </c>
      <c r="AH8" s="186">
        <v>3</v>
      </c>
      <c r="AI8" s="187"/>
      <c r="AJ8" s="26"/>
      <c r="AK8" s="27">
        <v>6</v>
      </c>
      <c r="AL8" s="28" t="s">
        <v>38</v>
      </c>
      <c r="AM8" s="28"/>
      <c r="AN8" s="28"/>
      <c r="AO8" s="28"/>
      <c r="AP8" s="28"/>
      <c r="AQ8" s="28"/>
      <c r="AR8" s="29"/>
      <c r="AT8" s="18">
        <v>6</v>
      </c>
      <c r="AU8" s="298" t="s">
        <v>29</v>
      </c>
      <c r="AV8" s="298" t="s">
        <v>454</v>
      </c>
      <c r="AW8" s="15">
        <f>VLOOKUP(AV8,'AM r1'!AV$3:AX$12, 3, FALSE)</f>
        <v>1190.6568718953795</v>
      </c>
      <c r="AX8" s="19">
        <f>VLOOKUP(AU8,AT$79:AU$234,2,FALSE)</f>
        <v>1181.4470908066889</v>
      </c>
      <c r="AY8" s="20">
        <f>IF(ISNA(VLOOKUP(AU8,AT$248:AU$348,2,FALSE)),AX8,VLOOKUP(AU8,AT$248:AU$348,2,FALSE))</f>
        <v>1181.4470908066889</v>
      </c>
    </row>
    <row r="9" spans="1:53" ht="18.75" customHeight="1" thickBot="1" x14ac:dyDescent="0.3">
      <c r="A9" s="195"/>
      <c r="B9" s="222" t="s">
        <v>9</v>
      </c>
      <c r="C9" s="223"/>
      <c r="D9" s="224"/>
      <c r="E9" s="215" t="str">
        <f>AV3</f>
        <v>FJ2EXCEL3PM</v>
      </c>
      <c r="F9" s="216"/>
      <c r="G9" s="216"/>
      <c r="H9" s="216"/>
      <c r="I9" s="216"/>
      <c r="J9" s="216"/>
      <c r="K9" s="216"/>
      <c r="L9" s="220"/>
      <c r="M9" s="221"/>
      <c r="N9" s="221"/>
      <c r="O9" s="221"/>
      <c r="P9" s="221"/>
      <c r="Q9" s="240"/>
      <c r="R9" s="220"/>
      <c r="S9" s="221"/>
      <c r="T9" s="221"/>
      <c r="U9" s="221"/>
      <c r="V9" s="221"/>
      <c r="W9" s="220"/>
      <c r="X9" s="221"/>
      <c r="Y9" s="221"/>
      <c r="Z9" s="205"/>
      <c r="AA9" s="206"/>
      <c r="AB9" s="206"/>
      <c r="AC9" s="207"/>
      <c r="AD9" s="208"/>
      <c r="AE9" s="209"/>
      <c r="AF9" s="210"/>
      <c r="AG9" s="210"/>
      <c r="AH9" s="211"/>
      <c r="AI9" s="212"/>
      <c r="AJ9" s="26"/>
      <c r="AK9" s="27">
        <v>4</v>
      </c>
      <c r="AL9" s="28" t="s">
        <v>39</v>
      </c>
      <c r="AM9" s="26"/>
      <c r="AN9" s="26"/>
      <c r="AO9" s="26"/>
      <c r="AP9" s="26"/>
      <c r="AQ9" s="26"/>
      <c r="AR9" s="3"/>
      <c r="AT9" s="18">
        <v>7</v>
      </c>
      <c r="AU9" s="298" t="s">
        <v>200</v>
      </c>
      <c r="AV9" s="298" t="s">
        <v>452</v>
      </c>
      <c r="AW9" s="15">
        <f>VLOOKUP(AV9,'AM r1'!AV$3:AX$12, 3, FALSE)</f>
        <v>1153.4695015289756</v>
      </c>
      <c r="AX9" s="19">
        <f>VLOOKUP(AU9,AT$79:AU$234,2,FALSE)</f>
        <v>1148.3194134379773</v>
      </c>
      <c r="AY9" s="20">
        <f>IF(ISNA(VLOOKUP(AU9,AT$248:AU$348,2,FALSE)),AX9,VLOOKUP(AU9,AT$248:AU$348,2,FALSE))</f>
        <v>1148.3194134379773</v>
      </c>
    </row>
    <row r="10" spans="1:53" ht="18.75" customHeight="1" thickBot="1" x14ac:dyDescent="0.3">
      <c r="A10" s="194" t="str">
        <f>IF($AK9&gt;1,"2","")</f>
        <v>2</v>
      </c>
      <c r="B10" s="225" t="s">
        <v>8</v>
      </c>
      <c r="C10" s="226"/>
      <c r="D10" s="227"/>
      <c r="E10" s="217" t="str">
        <f>AU6</f>
        <v>Foothills 12 Kim</v>
      </c>
      <c r="F10" s="218"/>
      <c r="G10" s="218"/>
      <c r="H10" s="218"/>
      <c r="I10" s="218"/>
      <c r="J10" s="218"/>
      <c r="K10" s="219"/>
      <c r="L10" s="201">
        <f>IF($AK10=0,AF65,AF47)</f>
        <v>0</v>
      </c>
      <c r="M10" s="202"/>
      <c r="N10" s="202"/>
      <c r="O10" s="202"/>
      <c r="P10" s="202"/>
      <c r="Q10" s="240"/>
      <c r="R10" s="201">
        <f>IF($AK10=0,AG65,AG47)</f>
        <v>3</v>
      </c>
      <c r="S10" s="202"/>
      <c r="T10" s="202"/>
      <c r="U10" s="202"/>
      <c r="V10" s="202"/>
      <c r="W10" s="201">
        <f>AQ25</f>
        <v>-17</v>
      </c>
      <c r="X10" s="202"/>
      <c r="Y10" s="202"/>
      <c r="Z10" s="174">
        <f>IF(AF59&gt;0,(AQ25/AF59),0)</f>
        <v>-0.30909090909090908</v>
      </c>
      <c r="AA10" s="175"/>
      <c r="AB10" s="175"/>
      <c r="AC10" s="178">
        <f>IF(AF73=0,0,(AF65/AF73))</f>
        <v>0</v>
      </c>
      <c r="AD10" s="179"/>
      <c r="AE10" s="180"/>
      <c r="AF10" s="184">
        <v>4</v>
      </c>
      <c r="AG10" s="184">
        <v>1</v>
      </c>
      <c r="AH10" s="186">
        <v>1</v>
      </c>
      <c r="AI10" s="187"/>
      <c r="AJ10" s="26"/>
      <c r="AK10" s="27">
        <v>1</v>
      </c>
      <c r="AL10" s="28" t="s">
        <v>42</v>
      </c>
      <c r="AM10" s="28"/>
      <c r="AN10" s="28"/>
      <c r="AO10" s="28"/>
      <c r="AP10" s="28"/>
      <c r="AQ10" s="28"/>
      <c r="AR10" s="29"/>
      <c r="AT10" s="18">
        <v>8</v>
      </c>
      <c r="AU10" s="298" t="s">
        <v>455</v>
      </c>
      <c r="AV10" s="298" t="s">
        <v>456</v>
      </c>
      <c r="AW10" s="15">
        <f>VLOOKUP(AV10,'AM r1'!AV$3:AX$11,3,FALSE)</f>
        <v>1214.5304984710244</v>
      </c>
      <c r="AX10" s="19">
        <f>VLOOKUP(AU10,AT$79:AU$234,2,FALSE)</f>
        <v>1226.3973469482601</v>
      </c>
      <c r="AY10" s="20">
        <f>IF(ISNA(VLOOKUP(AU10,AT$248:AU$348,2,FALSE)),AX10,VLOOKUP(AU10,AT$248:AU$348,2,FALSE))</f>
        <v>1226.3973469482601</v>
      </c>
    </row>
    <row r="11" spans="1:53" ht="18.75" customHeight="1" thickBot="1" x14ac:dyDescent="0.3">
      <c r="A11" s="195"/>
      <c r="B11" s="213" t="s">
        <v>9</v>
      </c>
      <c r="C11" s="214"/>
      <c r="D11" s="214"/>
      <c r="E11" s="215" t="str">
        <f>AV6</f>
        <v>FJ2FOOTH3PM</v>
      </c>
      <c r="F11" s="216"/>
      <c r="G11" s="216"/>
      <c r="H11" s="216"/>
      <c r="I11" s="216"/>
      <c r="J11" s="216"/>
      <c r="K11" s="216"/>
      <c r="L11" s="220"/>
      <c r="M11" s="221"/>
      <c r="N11" s="221"/>
      <c r="O11" s="221"/>
      <c r="P11" s="221"/>
      <c r="Q11" s="240"/>
      <c r="R11" s="220"/>
      <c r="S11" s="221"/>
      <c r="T11" s="221"/>
      <c r="U11" s="221"/>
      <c r="V11" s="221"/>
      <c r="W11" s="220"/>
      <c r="X11" s="221"/>
      <c r="Y11" s="221"/>
      <c r="Z11" s="205"/>
      <c r="AA11" s="206"/>
      <c r="AB11" s="206"/>
      <c r="AC11" s="207"/>
      <c r="AD11" s="208"/>
      <c r="AE11" s="209"/>
      <c r="AF11" s="210"/>
      <c r="AG11" s="210"/>
      <c r="AH11" s="211"/>
      <c r="AI11" s="212"/>
      <c r="AJ11" s="26"/>
      <c r="AK11" s="27">
        <v>1</v>
      </c>
      <c r="AL11" s="28" t="s">
        <v>44</v>
      </c>
      <c r="AM11" s="26"/>
      <c r="AN11" s="26"/>
      <c r="AO11" s="26"/>
      <c r="AP11" s="26"/>
      <c r="AQ11" s="26"/>
      <c r="AR11" s="3"/>
      <c r="AT11" s="18">
        <v>9</v>
      </c>
      <c r="AU11" s="14"/>
      <c r="AV11" s="14"/>
      <c r="AW11" s="15" t="e">
        <f>VLOOKUP(AV11,'AM r1'!AV$3:AX$11,3,FALSE)</f>
        <v>#N/A</v>
      </c>
      <c r="AX11" s="19" t="e">
        <f>VLOOKUP(AU11,AT$79:AU$234,2,FALSE)</f>
        <v>#N/A</v>
      </c>
      <c r="AY11" s="20" t="e">
        <f>IF(ISNA(VLOOKUP(AU11,AT$248:AU$348,2,FALSE)),AX11,VLOOKUP(AU11,AT$248:AU$348,2,FALSE))</f>
        <v>#N/A</v>
      </c>
    </row>
    <row r="12" spans="1:53" ht="18.75" customHeight="1" x14ac:dyDescent="0.25">
      <c r="A12" s="194" t="str">
        <f>IF($AK9&gt;2,"3","")</f>
        <v>3</v>
      </c>
      <c r="B12" s="196" t="s">
        <v>8</v>
      </c>
      <c r="C12" s="197"/>
      <c r="D12" s="197"/>
      <c r="E12" s="217" t="str">
        <f>AU7</f>
        <v>PSVC 11/12 Megan</v>
      </c>
      <c r="F12" s="218"/>
      <c r="G12" s="218"/>
      <c r="H12" s="218"/>
      <c r="I12" s="218"/>
      <c r="J12" s="218"/>
      <c r="K12" s="219"/>
      <c r="L12" s="201">
        <f>IF($AK10=0,AF66,AF48)</f>
        <v>2</v>
      </c>
      <c r="M12" s="202"/>
      <c r="N12" s="202"/>
      <c r="O12" s="202"/>
      <c r="P12" s="202"/>
      <c r="Q12" s="240"/>
      <c r="R12" s="201">
        <f>IF($AK10=0,AG66,AG48)</f>
        <v>1</v>
      </c>
      <c r="S12" s="202"/>
      <c r="T12" s="202"/>
      <c r="U12" s="202"/>
      <c r="V12" s="202"/>
      <c r="W12" s="201">
        <f>AQ26</f>
        <v>-6</v>
      </c>
      <c r="X12" s="202"/>
      <c r="Y12" s="202"/>
      <c r="Z12" s="174">
        <f>IF(AF60&gt;0,(AQ26/AF60),0)</f>
        <v>-0.10344827586206896</v>
      </c>
      <c r="AA12" s="175"/>
      <c r="AB12" s="175"/>
      <c r="AC12" s="178">
        <f>IF(AF74=0,0,(AF66/AF74))</f>
        <v>0.66666666666666663</v>
      </c>
      <c r="AD12" s="179"/>
      <c r="AE12" s="180"/>
      <c r="AF12" s="184">
        <v>3</v>
      </c>
      <c r="AG12" s="184">
        <v>4</v>
      </c>
      <c r="AH12" s="186">
        <v>2</v>
      </c>
      <c r="AI12" s="187"/>
      <c r="AJ12" s="30"/>
      <c r="AK12" s="27">
        <v>3</v>
      </c>
      <c r="AL12" s="31" t="s">
        <v>45</v>
      </c>
      <c r="AM12" s="28"/>
      <c r="AN12" s="28"/>
      <c r="AO12" s="28"/>
      <c r="AP12" s="28"/>
      <c r="AQ12" s="28"/>
      <c r="AR12" s="29"/>
    </row>
    <row r="13" spans="1:53" ht="18.75" customHeight="1" thickBot="1" x14ac:dyDescent="0.3">
      <c r="A13" s="195"/>
      <c r="B13" s="213" t="s">
        <v>9</v>
      </c>
      <c r="C13" s="214"/>
      <c r="D13" s="214"/>
      <c r="E13" s="215" t="str">
        <f>AV7</f>
        <v>FJ2PSTRI4PM</v>
      </c>
      <c r="F13" s="216"/>
      <c r="G13" s="216"/>
      <c r="H13" s="216"/>
      <c r="I13" s="216"/>
      <c r="J13" s="216"/>
      <c r="K13" s="216"/>
      <c r="L13" s="220"/>
      <c r="M13" s="221"/>
      <c r="N13" s="221"/>
      <c r="O13" s="221"/>
      <c r="P13" s="221"/>
      <c r="Q13" s="240"/>
      <c r="R13" s="220"/>
      <c r="S13" s="221"/>
      <c r="T13" s="221"/>
      <c r="U13" s="221"/>
      <c r="V13" s="221"/>
      <c r="W13" s="220"/>
      <c r="X13" s="221"/>
      <c r="Y13" s="221"/>
      <c r="Z13" s="205"/>
      <c r="AA13" s="206"/>
      <c r="AB13" s="206"/>
      <c r="AC13" s="207"/>
      <c r="AD13" s="208"/>
      <c r="AE13" s="209"/>
      <c r="AF13" s="210"/>
      <c r="AG13" s="210"/>
      <c r="AH13" s="211"/>
      <c r="AI13" s="212"/>
      <c r="AJ13" s="30"/>
      <c r="AK13" s="32"/>
      <c r="AL13" s="33"/>
      <c r="AM13" s="33"/>
      <c r="AN13" s="33"/>
      <c r="AO13" s="33"/>
      <c r="AP13" s="33"/>
      <c r="AQ13" s="26"/>
      <c r="AR13" s="3"/>
    </row>
    <row r="14" spans="1:53" ht="18.75" customHeight="1" thickBot="1" x14ac:dyDescent="0.3">
      <c r="A14" s="194" t="str">
        <f>IF($AK9&gt;3,"4","")</f>
        <v>4</v>
      </c>
      <c r="B14" s="196" t="s">
        <v>8</v>
      </c>
      <c r="C14" s="197"/>
      <c r="D14" s="197"/>
      <c r="E14" s="217" t="str">
        <f>AU10</f>
        <v>Crossfire 12 Jrs</v>
      </c>
      <c r="F14" s="218"/>
      <c r="G14" s="218"/>
      <c r="H14" s="218"/>
      <c r="I14" s="218"/>
      <c r="J14" s="218"/>
      <c r="K14" s="219"/>
      <c r="L14" s="201">
        <f>IF($AK10=0,AF67,AF49)</f>
        <v>2</v>
      </c>
      <c r="M14" s="202"/>
      <c r="N14" s="202"/>
      <c r="O14" s="202"/>
      <c r="P14" s="202"/>
      <c r="Q14" s="240"/>
      <c r="R14" s="201">
        <f>IF($AK10=0,AG67,AG49)</f>
        <v>1</v>
      </c>
      <c r="S14" s="202"/>
      <c r="T14" s="202"/>
      <c r="U14" s="202"/>
      <c r="V14" s="202"/>
      <c r="W14" s="201">
        <f>AQ27</f>
        <v>13</v>
      </c>
      <c r="X14" s="202"/>
      <c r="Y14" s="202"/>
      <c r="Z14" s="174">
        <f>IF(AF61&gt;0,(AQ27/AF61),0)</f>
        <v>0.22033898305084745</v>
      </c>
      <c r="AA14" s="175"/>
      <c r="AB14" s="175"/>
      <c r="AC14" s="178">
        <f>IF(AF75=0,0,(AF67/AF75))</f>
        <v>0.66666666666666663</v>
      </c>
      <c r="AD14" s="179"/>
      <c r="AE14" s="180"/>
      <c r="AF14" s="184">
        <v>1</v>
      </c>
      <c r="AG14" s="184">
        <v>4</v>
      </c>
      <c r="AH14" s="186"/>
      <c r="AI14" s="187"/>
      <c r="AJ14" s="6"/>
      <c r="AK14" s="33"/>
      <c r="AL14" s="33"/>
      <c r="AM14" s="33"/>
      <c r="AN14" s="33"/>
      <c r="AO14" s="33"/>
      <c r="AP14" s="33"/>
      <c r="AQ14" s="28"/>
      <c r="AR14" s="29"/>
    </row>
    <row r="15" spans="1:53" ht="18.75" customHeight="1" thickBot="1" x14ac:dyDescent="0.3">
      <c r="A15" s="195"/>
      <c r="B15" s="213" t="s">
        <v>9</v>
      </c>
      <c r="C15" s="214"/>
      <c r="D15" s="214"/>
      <c r="E15" s="215" t="str">
        <f>AV10</f>
        <v>FJ2CROSF3PM</v>
      </c>
      <c r="F15" s="216"/>
      <c r="G15" s="216"/>
      <c r="H15" s="216"/>
      <c r="I15" s="216"/>
      <c r="J15" s="216"/>
      <c r="K15" s="216"/>
      <c r="L15" s="220"/>
      <c r="M15" s="221"/>
      <c r="N15" s="221"/>
      <c r="O15" s="221"/>
      <c r="P15" s="221"/>
      <c r="Q15" s="240"/>
      <c r="R15" s="220"/>
      <c r="S15" s="221"/>
      <c r="T15" s="221"/>
      <c r="U15" s="221"/>
      <c r="V15" s="221"/>
      <c r="W15" s="220"/>
      <c r="X15" s="221"/>
      <c r="Y15" s="221"/>
      <c r="Z15" s="205"/>
      <c r="AA15" s="206"/>
      <c r="AB15" s="206"/>
      <c r="AC15" s="207"/>
      <c r="AD15" s="208"/>
      <c r="AE15" s="209"/>
      <c r="AF15" s="210"/>
      <c r="AG15" s="210"/>
      <c r="AH15" s="211"/>
      <c r="AI15" s="212"/>
      <c r="AJ15" s="6"/>
      <c r="AK15" s="33"/>
      <c r="AL15" s="33"/>
      <c r="AM15" s="33"/>
      <c r="AN15" s="33"/>
      <c r="AO15" s="33"/>
      <c r="AP15" s="33"/>
      <c r="AQ15" s="6"/>
      <c r="AR15" s="3"/>
      <c r="AU15" s="298" t="s">
        <v>191</v>
      </c>
      <c r="AV15" s="298" t="s">
        <v>446</v>
      </c>
    </row>
    <row r="16" spans="1:53" ht="18.75" customHeight="1" thickBot="1" x14ac:dyDescent="0.3">
      <c r="A16" s="194" t="str">
        <f>IF($AK9&gt;4,"5","")</f>
        <v/>
      </c>
      <c r="B16" s="196" t="s">
        <v>8</v>
      </c>
      <c r="C16" s="197"/>
      <c r="D16" s="197"/>
      <c r="E16" s="198" t="e">
        <f>#REF!</f>
        <v>#REF!</v>
      </c>
      <c r="F16" s="199"/>
      <c r="G16" s="199"/>
      <c r="H16" s="199"/>
      <c r="I16" s="199"/>
      <c r="J16" s="199"/>
      <c r="K16" s="200"/>
      <c r="L16" s="201">
        <f>IF($AK10=0,AF68,AF50)</f>
        <v>0</v>
      </c>
      <c r="M16" s="202"/>
      <c r="N16" s="202"/>
      <c r="O16" s="202"/>
      <c r="P16" s="202"/>
      <c r="Q16" s="240"/>
      <c r="R16" s="201">
        <f>IF($AK10=0,AG68,AG50)</f>
        <v>0</v>
      </c>
      <c r="S16" s="202"/>
      <c r="T16" s="202"/>
      <c r="U16" s="202"/>
      <c r="V16" s="202"/>
      <c r="W16" s="201">
        <f>AQ28</f>
        <v>0</v>
      </c>
      <c r="X16" s="202"/>
      <c r="Y16" s="202"/>
      <c r="Z16" s="174">
        <f>IF(AF62&gt;0,(AQ28/AF62),0)</f>
        <v>0</v>
      </c>
      <c r="AA16" s="175"/>
      <c r="AB16" s="175"/>
      <c r="AC16" s="178">
        <f>IF(AF76=0,0,(AF68/AF76))</f>
        <v>0</v>
      </c>
      <c r="AD16" s="179"/>
      <c r="AE16" s="180"/>
      <c r="AF16" s="184"/>
      <c r="AG16" s="184"/>
      <c r="AH16" s="186"/>
      <c r="AI16" s="187"/>
      <c r="AJ16" s="6"/>
      <c r="AK16" s="33"/>
      <c r="AL16" s="33"/>
      <c r="AM16" s="33"/>
      <c r="AN16" s="33"/>
      <c r="AO16" s="33"/>
      <c r="AP16" s="33"/>
      <c r="AQ16" s="6"/>
      <c r="AR16" s="3"/>
      <c r="AU16" s="298" t="s">
        <v>447</v>
      </c>
      <c r="AV16" s="298" t="s">
        <v>448</v>
      </c>
    </row>
    <row r="17" spans="1:48" ht="18.75" customHeight="1" thickBot="1" x14ac:dyDescent="0.3">
      <c r="A17" s="195"/>
      <c r="B17" s="190" t="s">
        <v>9</v>
      </c>
      <c r="C17" s="191"/>
      <c r="D17" s="191"/>
      <c r="E17" s="192" t="e">
        <f>#REF!</f>
        <v>#REF!</v>
      </c>
      <c r="F17" s="193"/>
      <c r="G17" s="193"/>
      <c r="H17" s="193"/>
      <c r="I17" s="193"/>
      <c r="J17" s="193"/>
      <c r="K17" s="193"/>
      <c r="L17" s="203"/>
      <c r="M17" s="204"/>
      <c r="N17" s="204"/>
      <c r="O17" s="204"/>
      <c r="P17" s="204"/>
      <c r="Q17" s="240"/>
      <c r="R17" s="203"/>
      <c r="S17" s="204"/>
      <c r="T17" s="204"/>
      <c r="U17" s="204"/>
      <c r="V17" s="204"/>
      <c r="W17" s="203"/>
      <c r="X17" s="204"/>
      <c r="Y17" s="204"/>
      <c r="Z17" s="176"/>
      <c r="AA17" s="177"/>
      <c r="AB17" s="177"/>
      <c r="AC17" s="181"/>
      <c r="AD17" s="182"/>
      <c r="AE17" s="183"/>
      <c r="AF17" s="185"/>
      <c r="AG17" s="185"/>
      <c r="AH17" s="188"/>
      <c r="AI17" s="189"/>
      <c r="AJ17" s="6"/>
      <c r="AK17" s="33"/>
      <c r="AL17" s="33"/>
      <c r="AM17" s="33"/>
      <c r="AN17" s="33"/>
      <c r="AO17" s="33"/>
      <c r="AP17" s="33"/>
      <c r="AQ17" s="6"/>
      <c r="AR17" s="3"/>
      <c r="AU17" s="298" t="s">
        <v>40</v>
      </c>
      <c r="AV17" s="298" t="s">
        <v>449</v>
      </c>
    </row>
    <row r="18" spans="1:48" ht="21" customHeight="1" thickTop="1" thickBot="1" x14ac:dyDescent="0.3">
      <c r="A18" s="34"/>
      <c r="B18" s="171" t="s">
        <v>46</v>
      </c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3"/>
      <c r="AJ18" s="6"/>
      <c r="AK18" s="33"/>
      <c r="AL18" s="33"/>
      <c r="AM18" s="33"/>
      <c r="AN18" s="33"/>
      <c r="AO18" s="33"/>
      <c r="AP18" s="33"/>
      <c r="AQ18" s="6"/>
      <c r="AR18" s="3"/>
      <c r="AU18" s="298" t="s">
        <v>450</v>
      </c>
      <c r="AV18" s="298" t="s">
        <v>451</v>
      </c>
    </row>
    <row r="19" spans="1:48" ht="14.4" thickTop="1" thickBot="1" x14ac:dyDescent="0.3">
      <c r="A19" s="4" t="s">
        <v>47</v>
      </c>
      <c r="B19" s="160">
        <v>0.13541666666666666</v>
      </c>
      <c r="C19" s="161"/>
      <c r="D19" s="162"/>
      <c r="E19" s="160">
        <v>0.16666666666666666</v>
      </c>
      <c r="F19" s="161"/>
      <c r="G19" s="162"/>
      <c r="H19" s="160">
        <v>0.19791666666666666</v>
      </c>
      <c r="I19" s="161"/>
      <c r="J19" s="162"/>
      <c r="K19" s="160"/>
      <c r="L19" s="161"/>
      <c r="M19" s="162"/>
      <c r="N19" s="160"/>
      <c r="O19" s="161"/>
      <c r="P19" s="162"/>
      <c r="Q19" s="160"/>
      <c r="R19" s="161"/>
      <c r="S19" s="162"/>
      <c r="T19" s="160"/>
      <c r="U19" s="161"/>
      <c r="V19" s="162"/>
      <c r="W19" s="160"/>
      <c r="X19" s="161"/>
      <c r="Y19" s="162"/>
      <c r="Z19" s="160"/>
      <c r="AA19" s="161"/>
      <c r="AB19" s="162"/>
      <c r="AC19" s="160"/>
      <c r="AD19" s="161"/>
      <c r="AE19" s="162"/>
      <c r="AF19" s="163" t="s">
        <v>48</v>
      </c>
      <c r="AG19" s="164"/>
      <c r="AH19" s="164"/>
      <c r="AI19" s="164"/>
      <c r="AJ19" s="165"/>
      <c r="AK19" s="165"/>
      <c r="AL19" s="165"/>
      <c r="AM19" s="165"/>
      <c r="AN19" s="165"/>
      <c r="AO19" s="165"/>
      <c r="AP19" s="165"/>
      <c r="AQ19" s="166"/>
      <c r="AU19" s="298" t="s">
        <v>200</v>
      </c>
      <c r="AV19" s="298" t="s">
        <v>452</v>
      </c>
    </row>
    <row r="20" spans="1:48" ht="13.8" thickBot="1" x14ac:dyDescent="0.3">
      <c r="A20" s="35" t="s">
        <v>49</v>
      </c>
      <c r="B20" s="157"/>
      <c r="C20" s="158"/>
      <c r="D20" s="159"/>
      <c r="E20" s="157"/>
      <c r="F20" s="158"/>
      <c r="G20" s="159"/>
      <c r="H20" s="157"/>
      <c r="I20" s="158"/>
      <c r="J20" s="159"/>
      <c r="K20" s="157"/>
      <c r="L20" s="158"/>
      <c r="M20" s="159"/>
      <c r="N20" s="157"/>
      <c r="O20" s="158"/>
      <c r="P20" s="159"/>
      <c r="Q20" s="157"/>
      <c r="R20" s="158"/>
      <c r="S20" s="159"/>
      <c r="T20" s="157"/>
      <c r="U20" s="158"/>
      <c r="V20" s="159"/>
      <c r="W20" s="157"/>
      <c r="X20" s="158"/>
      <c r="Y20" s="159"/>
      <c r="Z20" s="157"/>
      <c r="AA20" s="158"/>
      <c r="AB20" s="159"/>
      <c r="AC20" s="157"/>
      <c r="AD20" s="158"/>
      <c r="AE20" s="159"/>
      <c r="AF20" s="163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7"/>
      <c r="AU20" s="298" t="s">
        <v>198</v>
      </c>
      <c r="AV20" s="298" t="s">
        <v>453</v>
      </c>
    </row>
    <row r="21" spans="1:48" ht="13.8" thickBot="1" x14ac:dyDescent="0.3">
      <c r="A21" s="35" t="s">
        <v>50</v>
      </c>
      <c r="B21" s="157"/>
      <c r="C21" s="158"/>
      <c r="D21" s="159"/>
      <c r="E21" s="157"/>
      <c r="F21" s="158"/>
      <c r="G21" s="159"/>
      <c r="H21" s="157"/>
      <c r="I21" s="158"/>
      <c r="J21" s="159"/>
      <c r="K21" s="157"/>
      <c r="L21" s="158"/>
      <c r="M21" s="159"/>
      <c r="N21" s="157"/>
      <c r="O21" s="158"/>
      <c r="P21" s="159"/>
      <c r="Q21" s="157"/>
      <c r="R21" s="158"/>
      <c r="S21" s="159"/>
      <c r="T21" s="157"/>
      <c r="U21" s="158"/>
      <c r="V21" s="159"/>
      <c r="W21" s="157"/>
      <c r="X21" s="158"/>
      <c r="Y21" s="159"/>
      <c r="Z21" s="157"/>
      <c r="AA21" s="158"/>
      <c r="AB21" s="159"/>
      <c r="AC21" s="157"/>
      <c r="AD21" s="158"/>
      <c r="AE21" s="159"/>
      <c r="AF21" s="163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7"/>
      <c r="AU21" s="298" t="s">
        <v>29</v>
      </c>
      <c r="AV21" s="298" t="s">
        <v>454</v>
      </c>
    </row>
    <row r="22" spans="1:48" ht="13.8" thickBot="1" x14ac:dyDescent="0.3">
      <c r="A22" s="6"/>
      <c r="B22" s="154" t="s">
        <v>51</v>
      </c>
      <c r="C22" s="155"/>
      <c r="D22" s="156"/>
      <c r="E22" s="154" t="str">
        <f>IF(AK8&gt;1,"Match 2","")</f>
        <v>Match 2</v>
      </c>
      <c r="F22" s="155"/>
      <c r="G22" s="156"/>
      <c r="H22" s="154" t="str">
        <f>IF(AK8&gt;2,"Match 3","")</f>
        <v>Match 3</v>
      </c>
      <c r="I22" s="155"/>
      <c r="J22" s="156"/>
      <c r="K22" s="154" t="str">
        <f>IF(AK8&gt;3,"Match 4","")</f>
        <v>Match 4</v>
      </c>
      <c r="L22" s="155"/>
      <c r="M22" s="156"/>
      <c r="N22" s="154" t="str">
        <f>IF(AK8&gt;4,"Match 5","")</f>
        <v>Match 5</v>
      </c>
      <c r="O22" s="155"/>
      <c r="P22" s="156"/>
      <c r="Q22" s="154" t="str">
        <f>IF(AK8&gt;5,"Match 6","")</f>
        <v>Match 6</v>
      </c>
      <c r="R22" s="155"/>
      <c r="S22" s="156"/>
      <c r="T22" s="154" t="str">
        <f>IF(AK8&gt;6,"Match 7","")</f>
        <v/>
      </c>
      <c r="U22" s="155"/>
      <c r="V22" s="156"/>
      <c r="W22" s="154" t="str">
        <f>IF(AK8&gt;7,"Match 8","")</f>
        <v/>
      </c>
      <c r="X22" s="155"/>
      <c r="Y22" s="156"/>
      <c r="Z22" s="154" t="str">
        <f>IF(AK8&gt;8,"Match 9","")</f>
        <v/>
      </c>
      <c r="AA22" s="155"/>
      <c r="AB22" s="156"/>
      <c r="AC22" s="154" t="str">
        <f>IF(AK8&gt;9,"Match 10","")</f>
        <v/>
      </c>
      <c r="AD22" s="155"/>
      <c r="AE22" s="156"/>
      <c r="AF22" s="168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70"/>
      <c r="AU22" s="298" t="s">
        <v>455</v>
      </c>
      <c r="AV22" s="298" t="s">
        <v>456</v>
      </c>
    </row>
    <row r="23" spans="1:48" ht="15.75" customHeight="1" x14ac:dyDescent="0.3">
      <c r="A23" s="6"/>
      <c r="B23" s="147" t="s">
        <v>53</v>
      </c>
      <c r="C23" s="148"/>
      <c r="D23" s="149"/>
      <c r="E23" s="147" t="s">
        <v>52</v>
      </c>
      <c r="F23" s="148"/>
      <c r="G23" s="149"/>
      <c r="H23" s="147" t="s">
        <v>54</v>
      </c>
      <c r="I23" s="148"/>
      <c r="J23" s="149"/>
      <c r="K23" s="147" t="s">
        <v>55</v>
      </c>
      <c r="L23" s="148"/>
      <c r="M23" s="149"/>
      <c r="N23" s="147" t="s">
        <v>52</v>
      </c>
      <c r="O23" s="148"/>
      <c r="P23" s="149"/>
      <c r="Q23" s="147" t="s">
        <v>54</v>
      </c>
      <c r="R23" s="148"/>
      <c r="S23" s="149"/>
      <c r="T23" s="147"/>
      <c r="U23" s="148"/>
      <c r="V23" s="149"/>
      <c r="W23" s="147"/>
      <c r="X23" s="148"/>
      <c r="Y23" s="149"/>
      <c r="Z23" s="147"/>
      <c r="AA23" s="148"/>
      <c r="AB23" s="149"/>
      <c r="AC23" s="147"/>
      <c r="AD23" s="148"/>
      <c r="AE23" s="149"/>
      <c r="AF23" s="36" t="s">
        <v>56</v>
      </c>
      <c r="AG23" s="37">
        <v>1</v>
      </c>
      <c r="AH23" s="37">
        <v>2</v>
      </c>
      <c r="AI23" s="37">
        <v>3</v>
      </c>
      <c r="AJ23" s="37">
        <v>4</v>
      </c>
      <c r="AK23" s="37">
        <v>5</v>
      </c>
      <c r="AL23" s="37">
        <v>6</v>
      </c>
      <c r="AM23" s="37">
        <v>7</v>
      </c>
      <c r="AN23" s="37">
        <v>8</v>
      </c>
      <c r="AO23" s="37">
        <v>9</v>
      </c>
      <c r="AP23" s="37">
        <v>10</v>
      </c>
      <c r="AQ23" s="38" t="s">
        <v>57</v>
      </c>
    </row>
    <row r="24" spans="1:48" ht="15.6" x14ac:dyDescent="0.3">
      <c r="A24" s="6"/>
      <c r="B24" s="39">
        <v>2</v>
      </c>
      <c r="C24" s="40" t="s">
        <v>58</v>
      </c>
      <c r="D24" s="41">
        <v>3</v>
      </c>
      <c r="E24" s="39">
        <v>1</v>
      </c>
      <c r="F24" s="40" t="str">
        <f>IF(AK8&gt;1,"v","")</f>
        <v>v</v>
      </c>
      <c r="G24" s="41">
        <v>4</v>
      </c>
      <c r="H24" s="39">
        <v>2</v>
      </c>
      <c r="I24" s="40" t="str">
        <f>IF(AK8&gt;2,"v","")</f>
        <v>v</v>
      </c>
      <c r="J24" s="41">
        <v>4</v>
      </c>
      <c r="K24" s="39">
        <v>1</v>
      </c>
      <c r="L24" s="40" t="str">
        <f>IF(AK8&gt;3,"v","")</f>
        <v>v</v>
      </c>
      <c r="M24" s="41">
        <v>3</v>
      </c>
      <c r="N24" s="39">
        <v>3</v>
      </c>
      <c r="O24" s="40" t="str">
        <f>IF(AK8&gt;4,"v","")</f>
        <v>v</v>
      </c>
      <c r="P24" s="41">
        <v>4</v>
      </c>
      <c r="Q24" s="39">
        <v>1</v>
      </c>
      <c r="R24" s="40" t="str">
        <f>IF(AK8&gt;5,"v","")</f>
        <v>v</v>
      </c>
      <c r="S24" s="41">
        <v>2</v>
      </c>
      <c r="T24" s="39"/>
      <c r="U24" s="40" t="str">
        <f>IF(AK8&gt;6,"v","")</f>
        <v/>
      </c>
      <c r="V24" s="41"/>
      <c r="W24" s="39"/>
      <c r="X24" s="40" t="str">
        <f>IF(AK8&gt;7,"v","")</f>
        <v/>
      </c>
      <c r="Y24" s="41"/>
      <c r="Z24" s="39"/>
      <c r="AA24" s="40" t="str">
        <f>IF(AK8&gt;8,"v","")</f>
        <v/>
      </c>
      <c r="AB24" s="41"/>
      <c r="AC24" s="39"/>
      <c r="AD24" s="40" t="str">
        <f>IF(AK8&gt;9,"v","")</f>
        <v/>
      </c>
      <c r="AE24" s="41"/>
      <c r="AF24" s="36" t="str">
        <f>IF(AK9&gt;0,"Team 1","")</f>
        <v>Team 1</v>
      </c>
      <c r="AG24" s="42" t="str">
        <f>IF(AK9&lt;1,"",IF(AK8&lt;1,"",IF(B24=1,B30-D30,IF(D24=1,D30-B30,""))))</f>
        <v/>
      </c>
      <c r="AH24" s="42">
        <f>IF(AK9&lt;1,"",IF(AK8&lt;2,"",IF(E24=1,E30-G30,IF(G24=1,G30-E30,""))))</f>
        <v>2</v>
      </c>
      <c r="AI24" s="42" t="str">
        <f>IF(AK9&lt;1,"",IF(AK8&lt;3,"",IF(H24=1,H30-J30,IF(J24=1,J30-H30,""))))</f>
        <v/>
      </c>
      <c r="AJ24" s="42">
        <f>IF(AK9&lt;1,"",IF(AK8&lt;4,"",IF(K24=1,K30-M30,IF(M24=1,M30-K30,""))))</f>
        <v>-1</v>
      </c>
      <c r="AK24" s="42" t="str">
        <f>IF(AK9&lt;1,"",IF(AK8&lt;5,"",IF(N24=1,N30-P30,IF(P24=1,P30-N30,""))))</f>
        <v/>
      </c>
      <c r="AL24" s="42">
        <f>IF(AK9&lt;1,"",IF(AK8&lt;6,"",IF(Q24=1,Q30-S30,IF(S24=1,S30-Q30,""))))</f>
        <v>9</v>
      </c>
      <c r="AM24" s="42" t="str">
        <f>IF(AK9&lt;1,"",IF(AK8&lt;7,"",IF(T24=1,T30-V30,IF(V24=1,V30-T30,""))))</f>
        <v/>
      </c>
      <c r="AN24" s="42" t="str">
        <f>IF(AK9&lt;1,"",IF(AK8&lt;8,"",IF(W24=1,W30-Y30,IF(Y24=1,Y30-W30,""))))</f>
        <v/>
      </c>
      <c r="AO24" s="42" t="str">
        <f>IF(AK9&lt;1,"",IF(AK8&lt;9,"",IF(Z24=1,Z30-AB30,IF(AB24=1,AB30-Z30,""))))</f>
        <v/>
      </c>
      <c r="AP24" s="42" t="str">
        <f>IF(AK9&lt;1,"",IF(AK8&lt;10,"",IF(AC24=1,AC30-AE30,IF(AE24=1,AE30-AC30,""))))</f>
        <v/>
      </c>
      <c r="AQ24" s="38">
        <f>SUM(AG24:AP24)</f>
        <v>10</v>
      </c>
    </row>
    <row r="25" spans="1:48" ht="15" x14ac:dyDescent="0.25">
      <c r="A25" s="4" t="s">
        <v>59</v>
      </c>
      <c r="B25" s="43">
        <v>17</v>
      </c>
      <c r="C25" s="44" t="s">
        <v>60</v>
      </c>
      <c r="D25" s="45">
        <v>18</v>
      </c>
      <c r="E25" s="43">
        <v>17</v>
      </c>
      <c r="F25" s="44" t="str">
        <f>IF(AK8&gt;1,"/","")</f>
        <v>/</v>
      </c>
      <c r="G25" s="45">
        <v>15</v>
      </c>
      <c r="H25" s="43">
        <v>11</v>
      </c>
      <c r="I25" s="44" t="str">
        <f>IF(AK8&gt;2,"/","")</f>
        <v>/</v>
      </c>
      <c r="J25" s="45">
        <v>18</v>
      </c>
      <c r="K25" s="43">
        <v>15</v>
      </c>
      <c r="L25" s="44" t="str">
        <f>IF(AK8&gt;3,"/","")</f>
        <v>/</v>
      </c>
      <c r="M25" s="45">
        <v>16</v>
      </c>
      <c r="N25" s="43">
        <v>16</v>
      </c>
      <c r="O25" s="44" t="str">
        <f>IF(AK8&gt;4,"/","")</f>
        <v>/</v>
      </c>
      <c r="P25" s="45">
        <v>24</v>
      </c>
      <c r="Q25" s="43">
        <v>19</v>
      </c>
      <c r="R25" s="44" t="str">
        <f>IF(AK8&gt;5,"/","")</f>
        <v>/</v>
      </c>
      <c r="S25" s="45">
        <v>10</v>
      </c>
      <c r="T25" s="43"/>
      <c r="U25" s="44" t="str">
        <f>IF(AK8&gt;6,"/","")</f>
        <v/>
      </c>
      <c r="V25" s="45"/>
      <c r="W25" s="43"/>
      <c r="X25" s="44" t="str">
        <f>IF(AK8&gt;7,"/","")</f>
        <v/>
      </c>
      <c r="Y25" s="45"/>
      <c r="Z25" s="43"/>
      <c r="AA25" s="44" t="str">
        <f>IF(AK8&gt;8,"/","")</f>
        <v/>
      </c>
      <c r="AB25" s="45"/>
      <c r="AC25" s="43"/>
      <c r="AD25" s="44" t="str">
        <f>IF(AK8&gt;9,"/","")</f>
        <v/>
      </c>
      <c r="AE25" s="45"/>
      <c r="AF25" s="36" t="str">
        <f>IF(AK9&gt;1,"Team 2","")</f>
        <v>Team 2</v>
      </c>
      <c r="AG25" s="42">
        <f>IF(AK9&lt;2,"",IF(AK8&lt;1,"",IF(B24=2,B30-D30,IF(D24=2,D30-B30,""))))</f>
        <v>-1</v>
      </c>
      <c r="AH25" s="42" t="str">
        <f>IF(AK9&lt;2,"",IF(AK8&lt;2,"",IF(E24=2,E30-G30,IF(G24=2,G30-E30,""))))</f>
        <v/>
      </c>
      <c r="AI25" s="42">
        <f>IF(AK9&lt;2,"",IF(AK8&lt;3,"",IF(H24=2,H30-J30,IF(J24=2,J30-H30,""))))</f>
        <v>-7</v>
      </c>
      <c r="AJ25" s="42" t="str">
        <f>IF(AK9&lt;2,"",IF(AK8&lt;4,"",IF(K24=2,K30-M30,IF(M24=2,M30-K30,""))))</f>
        <v/>
      </c>
      <c r="AK25" s="42" t="str">
        <f>IF(AK9&lt;2,"",IF(AK8&lt;5,"",IF(N24=2,N30-P30,IF(P24=2,P30-N30,""))))</f>
        <v/>
      </c>
      <c r="AL25" s="42">
        <f>IF(AK9&lt;2,"",IF(AK8&lt;6,"",IF(Q24=2,Q30-S30,IF(S24=2,S30-Q30,""))))</f>
        <v>-9</v>
      </c>
      <c r="AM25" s="42" t="str">
        <f>IF(AK9&lt;2,"",IF(AK8&lt;7,"",IF(T24=2,T30-V30,IF(V24=2,V30-T30,""))))</f>
        <v/>
      </c>
      <c r="AN25" s="42" t="str">
        <f>IF(AK9&lt;2,"",IF(AK8&lt;8,"",IF(W24=2,W30-Y30,IF(Y24=2,Y30-W30,""))))</f>
        <v/>
      </c>
      <c r="AO25" s="42" t="str">
        <f>IF(AK9&lt;2,"",IF(AK8&lt;9,"",IF(Z24=2,Z30-AB30,IF(AB24=2,AB30-Z30,""))))</f>
        <v/>
      </c>
      <c r="AP25" s="42" t="str">
        <f>IF(AK9&lt;2,"",IF(AK8&lt;10,"",IF(AC24=2,AC30-AE30,IF(AE24=2,AE30-AC30,""))))</f>
        <v/>
      </c>
      <c r="AQ25" s="38">
        <f>SUM(AG25:AP25)</f>
        <v>-17</v>
      </c>
    </row>
    <row r="26" spans="1:48" ht="15" x14ac:dyDescent="0.25">
      <c r="A26" s="3" t="str">
        <f>IF(AK7&gt;1,"Game 2","")</f>
        <v/>
      </c>
      <c r="B26" s="43"/>
      <c r="C26" s="44" t="s">
        <v>60</v>
      </c>
      <c r="D26" s="45"/>
      <c r="E26" s="43"/>
      <c r="F26" s="44" t="str">
        <f>IF(AK8&gt;1,IF(AK7&gt;1,"/",""),"")</f>
        <v/>
      </c>
      <c r="G26" s="45"/>
      <c r="H26" s="43"/>
      <c r="I26" s="44" t="str">
        <f>IF(AK8&gt;2,IF(AK7&gt;1,"/",""),"")</f>
        <v/>
      </c>
      <c r="J26" s="45"/>
      <c r="K26" s="43"/>
      <c r="L26" s="44" t="str">
        <f>IF(AK8&gt;3,IF(AK7&gt;1,"/",""),"")</f>
        <v/>
      </c>
      <c r="M26" s="45"/>
      <c r="N26" s="43"/>
      <c r="O26" s="44" t="str">
        <f>IF(AK8&gt;4,IF(AK7&gt;1,"/",""),"")</f>
        <v/>
      </c>
      <c r="P26" s="45"/>
      <c r="Q26" s="43"/>
      <c r="R26" s="44" t="str">
        <f>IF(AK8&gt;5,IF(AK7&gt;1,"/",""),"")</f>
        <v/>
      </c>
      <c r="S26" s="45"/>
      <c r="T26" s="43"/>
      <c r="U26" s="44" t="str">
        <f>IF(AK8&gt;6,IF(AK7&gt;1,"/",""),"")</f>
        <v/>
      </c>
      <c r="V26" s="45"/>
      <c r="W26" s="43"/>
      <c r="X26" s="44" t="str">
        <f>IF(AK8&gt;7,IF(AK7&gt;1,"/",""),"")</f>
        <v/>
      </c>
      <c r="Y26" s="45"/>
      <c r="Z26" s="43"/>
      <c r="AA26" s="44" t="str">
        <f>IF(AK8&gt;8,IF(AK7&gt;1,"/",""),"")</f>
        <v/>
      </c>
      <c r="AB26" s="45"/>
      <c r="AC26" s="43"/>
      <c r="AD26" s="44" t="str">
        <f>IF(AK8&gt;9,IF(AK7&gt;1,"/",""),"")</f>
        <v/>
      </c>
      <c r="AE26" s="45"/>
      <c r="AF26" s="36" t="str">
        <f>IF(AK9&gt;2,"Team 3","")</f>
        <v>Team 3</v>
      </c>
      <c r="AG26" s="42">
        <f>IF(AK9&lt;3,"",IF(AK8&lt;1,"",IF(B24=3,B30-D30,IF(D24=3,D30-B30,""))))</f>
        <v>1</v>
      </c>
      <c r="AH26" s="42" t="str">
        <f>IF(AK9&lt;3,"",IF(AK8&lt;2,"",IF(E24=3,E30-G30,IF(G24=3,G30-E30,""))))</f>
        <v/>
      </c>
      <c r="AI26" s="42" t="str">
        <f>IF(AK9&lt;3,"",IF(AK8&lt;3,"",IF(H24=3,H30-J30,IF(J24=3,J30-H30,""))))</f>
        <v/>
      </c>
      <c r="AJ26" s="42">
        <f>IF(AK9&lt;3,"",IF(AK8&lt;4,"",IF(K24=3,K30-M30,IF(M24=3,M30-K30,""))))</f>
        <v>1</v>
      </c>
      <c r="AK26" s="42">
        <f>IF(AK9&lt;3,"",IF(AK8&lt;5,"",IF(N24=3,N30-P30,IF(P24=3,P30-N30,""))))</f>
        <v>-8</v>
      </c>
      <c r="AL26" s="42" t="str">
        <f>IF(AK9&lt;3,"",IF(AK8&lt;6,"",IF(Q24=3,Q30-S30,IF(S24=3,S30-Q30,""))))</f>
        <v/>
      </c>
      <c r="AM26" s="42" t="str">
        <f>IF(AK9&lt;3,"",IF(AK8&lt;7,"",IF(T24=3,T30-V30,IF(V24=3,V30-T30,""))))</f>
        <v/>
      </c>
      <c r="AN26" s="42" t="str">
        <f>IF(AK9&lt;3,"",IF(AK8&lt;8,"",IF(W24=3,W30-Y30,IF(Y24=3,Y30-W30,""))))</f>
        <v/>
      </c>
      <c r="AO26" s="42" t="str">
        <f>IF(AK9&lt;3,"",IF(AK8&lt;9,"",IF(Z24=3,Z30-AB30,IF(AB24=3,AB30-Z30,""))))</f>
        <v/>
      </c>
      <c r="AP26" s="42" t="str">
        <f>IF(AK9&lt;3,"",IF(AK8&lt;9,"",IF(AC24=3,AC30-AE30,IF(AE24=3,AE30-AC30,""))))</f>
        <v/>
      </c>
      <c r="AQ26" s="38">
        <f>SUM(AG26:AP26)</f>
        <v>-6</v>
      </c>
    </row>
    <row r="27" spans="1:48" ht="15" x14ac:dyDescent="0.25">
      <c r="A27" s="3" t="str">
        <f>IF(AK7&gt;2,"Game 3","")</f>
        <v/>
      </c>
      <c r="B27" s="43"/>
      <c r="C27" s="44" t="s">
        <v>60</v>
      </c>
      <c r="D27" s="45"/>
      <c r="E27" s="43"/>
      <c r="F27" s="44" t="str">
        <f>IF(AK8&gt;1,IF(AK7&gt;2,"/",""),"")</f>
        <v/>
      </c>
      <c r="G27" s="45"/>
      <c r="H27" s="43"/>
      <c r="I27" s="44" t="str">
        <f>IF(AK8&gt;2,IF(AK7&gt;2,"/",""),"")</f>
        <v/>
      </c>
      <c r="J27" s="45"/>
      <c r="K27" s="43"/>
      <c r="L27" s="44" t="str">
        <f>IF(AK8&gt;3,IF(AK7&gt;2,"/",""),"")</f>
        <v/>
      </c>
      <c r="M27" s="45"/>
      <c r="N27" s="43"/>
      <c r="O27" s="44" t="str">
        <f>IF(AK8&gt;4,IF(AK7&gt;2,"/",""),"")</f>
        <v/>
      </c>
      <c r="P27" s="45"/>
      <c r="Q27" s="43"/>
      <c r="R27" s="44" t="str">
        <f>IF(AK8&gt;5,IF(AK7&gt;2,"/",""),"")</f>
        <v/>
      </c>
      <c r="S27" s="45"/>
      <c r="T27" s="43"/>
      <c r="U27" s="44" t="str">
        <f>IF(AK8&gt;6,IF(AK7&gt;2,"/",""),"")</f>
        <v/>
      </c>
      <c r="V27" s="45"/>
      <c r="W27" s="43"/>
      <c r="X27" s="44" t="str">
        <f>IF(AK8&gt;7,IF(AK7&gt;2,"/",""),"")</f>
        <v/>
      </c>
      <c r="Y27" s="45"/>
      <c r="Z27" s="43"/>
      <c r="AA27" s="44" t="str">
        <f>IF(AK8&gt;8,IF(AK7&gt;2,"/",""),"")</f>
        <v/>
      </c>
      <c r="AB27" s="45"/>
      <c r="AC27" s="43"/>
      <c r="AD27" s="44" t="str">
        <f>IF(AK8&gt;9,IF(AK7&gt;2,"/",""),"")</f>
        <v/>
      </c>
      <c r="AE27" s="45"/>
      <c r="AF27" s="36" t="str">
        <f>IF(AK9&gt;3,"Team 4","")</f>
        <v>Team 4</v>
      </c>
      <c r="AG27" s="42" t="str">
        <f>IF(AK9&lt;4,"",IF(AK8&lt;1,"",IF(B24=4,B30-D30,IF(D24=4,D30-B30,""))))</f>
        <v/>
      </c>
      <c r="AH27" s="42">
        <f>IF(AK9&lt;4,"",IF(AK8&lt;2,"",IF(E24=4,E30-G30,IF(G24=4,G30-E30,""))))</f>
        <v>-2</v>
      </c>
      <c r="AI27" s="42">
        <f>IF(AK9&lt;4,"",IF(AK8&lt;3,"",IF(H24=4,H30-J30,IF(J24=4,J30-H30,""))))</f>
        <v>7</v>
      </c>
      <c r="AJ27" s="42" t="str">
        <f>IF(AK9&lt;4,"",IF(AK8&lt;4,"",IF(K24=4,K30-M30,IF(M24=4,M30-K30,""))))</f>
        <v/>
      </c>
      <c r="AK27" s="42">
        <f>IF(AK9&lt;4,"",IF(AK8&lt;5,"",IF(N24=4,N30-P30,IF(P24=4,P30-N30,""))))</f>
        <v>8</v>
      </c>
      <c r="AL27" s="42" t="str">
        <f>IF(AK9&lt;4,"",IF(AK8&lt;6,"",IF(Q24=4,Q30-S30,IF(S24=4,S30-Q30,""))))</f>
        <v/>
      </c>
      <c r="AM27" s="42" t="str">
        <f>IF(AK9&lt;4,"",IF(AK8&lt;7,"",IF(T24=4,T30-V30,IF(V24=4,V30-T30,""))))</f>
        <v/>
      </c>
      <c r="AN27" s="42" t="str">
        <f>IF(AK9&lt;4,"",IF(AK8&lt;8,"",IF(W24=4,W30-Y30,IF(Y24=4,Y30-W30,""))))</f>
        <v/>
      </c>
      <c r="AO27" s="42" t="str">
        <f>IF(AK9&lt;4,"",IF(AK8&lt;9,"",IF(Z24=4,Z30-AB30,IF(AB24=4,AB30-Z30,""))))</f>
        <v/>
      </c>
      <c r="AP27" s="42" t="str">
        <f>IF(AK9&lt;4,"",IF(AK8&lt;10,"",IF(AC24=4,AC30-AE30,IF(AE24=4,AE30-AC30,""))))</f>
        <v/>
      </c>
      <c r="AQ27" s="38">
        <f>SUM(AG27:AP27)</f>
        <v>13</v>
      </c>
    </row>
    <row r="28" spans="1:48" ht="15" x14ac:dyDescent="0.25">
      <c r="A28" s="3" t="str">
        <f>IF(AK7&gt;3,"Game 4","")</f>
        <v/>
      </c>
      <c r="B28" s="43"/>
      <c r="C28" s="44" t="s">
        <v>60</v>
      </c>
      <c r="D28" s="45"/>
      <c r="E28" s="43"/>
      <c r="F28" s="44" t="str">
        <f>IF(AK8&gt;1,IF(AK7&gt;3,"/",""),"")</f>
        <v/>
      </c>
      <c r="G28" s="45"/>
      <c r="H28" s="43"/>
      <c r="I28" s="44" t="str">
        <f>IF(AK8&gt;2,IF(AK7&gt;3,"/",""),"")</f>
        <v/>
      </c>
      <c r="J28" s="45"/>
      <c r="K28" s="43"/>
      <c r="L28" s="44" t="str">
        <f>IF(AK8&gt;3,IF(AK7&gt;3,"/",""),"")</f>
        <v/>
      </c>
      <c r="M28" s="45"/>
      <c r="N28" s="43"/>
      <c r="O28" s="44" t="str">
        <f>IF(AK8&gt;4,IF(AK7&gt;3,"/",""),"")</f>
        <v/>
      </c>
      <c r="P28" s="45"/>
      <c r="Q28" s="43"/>
      <c r="R28" s="44" t="str">
        <f>IF(AK8&gt;5,IF(AK7&gt;3,"/",""),"")</f>
        <v/>
      </c>
      <c r="S28" s="45"/>
      <c r="T28" s="43"/>
      <c r="U28" s="44" t="str">
        <f>IF(AK8&gt;6,IF(AK7&gt;3,"/",""),"")</f>
        <v/>
      </c>
      <c r="V28" s="45"/>
      <c r="W28" s="43"/>
      <c r="X28" s="44" t="str">
        <f>IF(AK8&gt;7,IF(AK7&gt;3,"/",""),"")</f>
        <v/>
      </c>
      <c r="Y28" s="45"/>
      <c r="Z28" s="43"/>
      <c r="AA28" s="44" t="str">
        <f>IF(AK8&gt;8,IF(AK7&gt;3,"/",""),"")</f>
        <v/>
      </c>
      <c r="AB28" s="45"/>
      <c r="AC28" s="43"/>
      <c r="AD28" s="44" t="str">
        <f>IF(AK8&gt;9,IF(AK7&gt;3,"/",""),"")</f>
        <v/>
      </c>
      <c r="AE28" s="45"/>
      <c r="AF28" s="36" t="str">
        <f>IF(AK9&gt;4,"Team 5","")</f>
        <v/>
      </c>
      <c r="AG28" s="46" t="str">
        <f>IF(AK9&lt;5,"",IF(AK8&lt;1,"",IF(B24=5,B30-D30,IF(D24=5,D30-B30,""))))</f>
        <v/>
      </c>
      <c r="AH28" s="42" t="str">
        <f>IF(AK9&lt;5,"",IF(AK8&lt;2,"",IF(E24=5,E30-G30,IF(G24=5,G30-E30,""))))</f>
        <v/>
      </c>
      <c r="AI28" s="42" t="str">
        <f>IF(AK9&lt;5,"",IF(AK8&lt;3,"",IF(H24=5,H30-J30,IF(J24=5,J30-H30,""))))</f>
        <v/>
      </c>
      <c r="AJ28" s="42" t="str">
        <f>IF(AK9&lt;5,"",IF(AK8&lt;4,"",IF(K24=5,K30-M30,IF(M24=5,M30-K30,""))))</f>
        <v/>
      </c>
      <c r="AK28" s="42" t="str">
        <f>IF(AK9&lt;5,"",IF(AK8&lt;5,"",IF(N24=5,N30-P30,IF(P24=5,P30-N30,""))))</f>
        <v/>
      </c>
      <c r="AL28" s="42" t="str">
        <f>IF(AK9&lt;5,"",IF(AK8&lt;6,"",IF(Q24=5,Q30-S30,IF(S24=5,S30-Q30,""))))</f>
        <v/>
      </c>
      <c r="AM28" s="42" t="str">
        <f>IF(AK9&lt;5,"",IF(AK8&lt;7,"",IF(T24=5,T30-V30,IF(V24=5,V30-T30,""))))</f>
        <v/>
      </c>
      <c r="AN28" s="42" t="str">
        <f>IF(AK9&lt;5,"",IF(AK8&lt;8,"",IF(W24=5,W30-Y30,IF(Y24=5,Y30-W30,""))))</f>
        <v/>
      </c>
      <c r="AO28" s="42" t="str">
        <f>IF(AK9&lt;5,"",IF(AK8&lt;9,"",IF(Z24=5,Z30-AB30,IF(AB24=5,AB30-Z30,""))))</f>
        <v/>
      </c>
      <c r="AP28" s="42" t="str">
        <f>IF(AK9&lt;5,"",IF(AK8&lt;10,"",IF(AC24=5,AC30-AE30,IF(AE24=5,AE30-AC30,""))))</f>
        <v/>
      </c>
      <c r="AQ28" s="38">
        <f>SUM(AG28:AP28)</f>
        <v>0</v>
      </c>
    </row>
    <row r="29" spans="1:48" ht="15" hidden="1" x14ac:dyDescent="0.25">
      <c r="A29" s="3" t="str">
        <f>IF(AK7&gt;4,"Game 5","")</f>
        <v/>
      </c>
      <c r="B29" s="43"/>
      <c r="C29" s="44" t="s">
        <v>60</v>
      </c>
      <c r="D29" s="45"/>
      <c r="E29" s="43"/>
      <c r="F29" s="44" t="str">
        <f>IF(AK8&gt;1,IF(AK7&gt;4,"/",""),"")</f>
        <v/>
      </c>
      <c r="G29" s="45"/>
      <c r="H29" s="43"/>
      <c r="I29" s="44" t="str">
        <f>IF(AK8&gt;2,IF(AK7&gt;4,"/",""),"")</f>
        <v/>
      </c>
      <c r="J29" s="45"/>
      <c r="K29" s="43"/>
      <c r="L29" s="44" t="str">
        <f>IF(AK8&gt;3,IF(AK7&gt;4,"/",""),"")</f>
        <v/>
      </c>
      <c r="M29" s="45"/>
      <c r="N29" s="43"/>
      <c r="O29" s="44" t="str">
        <f>IF(AK8&gt;4,IF(AK7&gt;4,"/",""),"")</f>
        <v/>
      </c>
      <c r="P29" s="45"/>
      <c r="Q29" s="43"/>
      <c r="R29" s="44" t="str">
        <f>IF(AK8&gt;5,IF(AK7&gt;4,"/",""),"")</f>
        <v/>
      </c>
      <c r="S29" s="45"/>
      <c r="T29" s="43"/>
      <c r="U29" s="44" t="str">
        <f>IF(AK8&gt;6,IF(AK7&gt;4,"/",""),"")</f>
        <v/>
      </c>
      <c r="V29" s="45"/>
      <c r="W29" s="43"/>
      <c r="X29" s="44" t="str">
        <f>IF(AK8&gt;7,IF(AK7&gt;4,"/",""),"")</f>
        <v/>
      </c>
      <c r="Y29" s="45"/>
      <c r="Z29" s="43"/>
      <c r="AA29" s="44" t="str">
        <f>IF(AK8&gt;8,IF(AK7&gt;4,"/",""),"")</f>
        <v/>
      </c>
      <c r="AB29" s="45"/>
      <c r="AC29" s="43"/>
      <c r="AD29" s="44" t="str">
        <f>IF(AK8&gt;9,IF(AK7&gt;4,"/",""),"")</f>
        <v/>
      </c>
      <c r="AE29" s="45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8" hidden="1" x14ac:dyDescent="0.25">
      <c r="A30" s="47"/>
      <c r="B30" s="47">
        <f>IF($AK7=5,SUM(B25:B29),IF($AK7=4,SUM(B25:B28),IF($AK7=3,SUM(B25:B27),IF($AK7=2,SUM(B25:B26),B25))))</f>
        <v>17</v>
      </c>
      <c r="C30" s="47"/>
      <c r="D30" s="47">
        <f>IF($AK7=5,SUM(D25:D29),IF($AK7=4,SUM(D25:D28),IF($AK7=3,SUM(D25:D27),IF($AK7=2,SUM(D25:D26),D25))))</f>
        <v>18</v>
      </c>
      <c r="E30" s="47">
        <f>IF($AK7=5,SUM(E25:E29),IF($AK7=4,SUM(E25:E28),IF($AK7=3,SUM(E25:E27),IF($AK7=2,SUM(E25:E26),E25))))</f>
        <v>17</v>
      </c>
      <c r="F30" s="47"/>
      <c r="G30" s="47">
        <f>IF($AK7=5,SUM(G25:G29),IF($AK7=4,SUM(G25:G28),IF($AK7=3,SUM(G25:G27),IF($AK7=2,SUM(G25:G26),G25))))</f>
        <v>15</v>
      </c>
      <c r="H30" s="47">
        <f>IF($AK7=5,SUM(H25:H29),IF($AK7=4,SUM(H25:H28),IF($AK7=3,SUM(H25:H27),IF($AK7=2,SUM(H25:H26),H25))))</f>
        <v>11</v>
      </c>
      <c r="I30" s="47"/>
      <c r="J30" s="47">
        <f>IF($AK7=5,SUM(J25:J29),IF($AK7=4,SUM(J25:J28),IF($AK7=3,SUM(J25:J27),IF($AK7=2,SUM(J25:J26),J25))))</f>
        <v>18</v>
      </c>
      <c r="K30" s="47">
        <f>IF($AK7=5,SUM(K25:K29),IF($AK7=4,SUM(K25:K28),IF($AK7=3,SUM(K25:K27),IF($AK7=2,SUM(K25:K26),K25))))</f>
        <v>15</v>
      </c>
      <c r="L30" s="47"/>
      <c r="M30" s="47">
        <f>IF($AK7=5,SUM(M25:M29),IF($AK7=4,SUM(M25:M28),IF($AK7=3,SUM(M25:M27),IF($AK7=2,SUM(M25:M26),M25))))</f>
        <v>16</v>
      </c>
      <c r="N30" s="47">
        <f>IF($AK7=5,SUM(N25:N29),IF($AK7=4,SUM(N25:N28),IF($AK7=3,SUM(N25:N27),IF($AK7=2,SUM(N25:N26),N25))))</f>
        <v>16</v>
      </c>
      <c r="O30" s="47"/>
      <c r="P30" s="47">
        <f>IF($AK7=5,SUM(P25:P29),IF($AK7=4,SUM(P25:P28),IF($AK7=3,SUM(P25:P27),IF($AK7=2,SUM(P25:P26),P25))))</f>
        <v>24</v>
      </c>
      <c r="Q30" s="47">
        <f>IF($AK7=5,SUM(Q25:Q29),IF($AK7=4,SUM(Q25:Q28),IF($AK7=3,SUM(Q25:Q27),IF($AK7=2,SUM(Q25:Q26),Q25))))</f>
        <v>19</v>
      </c>
      <c r="R30" s="47"/>
      <c r="S30" s="47">
        <f>IF($AK7=5,SUM(S25:S29),IF($AK7=4,SUM(S25:S28),IF($AK7=3,SUM(S25:S27),IF($AK7=2,SUM(S25:S26),S25))))</f>
        <v>10</v>
      </c>
      <c r="T30" s="47">
        <f>IF($AK7=5,SUM(T25:T29),IF($AK7=4,SUM(T25:T28),IF($AK7=3,SUM(T25:T27),IF($AK7=2,SUM(T25:T26),T25))))</f>
        <v>0</v>
      </c>
      <c r="U30" s="47"/>
      <c r="V30" s="47">
        <f>IF($AK7=5,SUM(V25:V29),IF($AK7=4,SUM(V25:V28),IF($AK7=3,SUM(V25:V27),IF($AK7=2,SUM(V25:V26),V25))))</f>
        <v>0</v>
      </c>
      <c r="W30" s="47">
        <f>IF($AK7=5,SUM(W25:W29),IF($AK7=4,SUM(W25:W28),IF($AK7=3,SUM(W25:W27),IF($AK7=2,SUM(W25:W26),W25))))</f>
        <v>0</v>
      </c>
      <c r="X30" s="47"/>
      <c r="Y30" s="47">
        <f>IF($AK7=5,SUM(Y25:Y29),IF($AK7=4,SUM(Y25:Y28),IF($AK7=3,SUM(Y25:Y27),IF($AK7=2,SUM(Y25:Y26),Y25))))</f>
        <v>0</v>
      </c>
      <c r="Z30" s="47">
        <f>IF($AK7=5,SUM(Z25:Z29),IF($AK7=4,SUM(Z25:Z28),IF($AK7=3,SUM(Z25:Z27),IF($AK7=2,SUM(Z25:Z26),Z25))))</f>
        <v>0</v>
      </c>
      <c r="AA30" s="47"/>
      <c r="AB30" s="47">
        <f>IF($AK7=5,SUM(AB25:AB29),IF($AK7=4,SUM(AB25:AB28),IF($AK7=3,SUM(AB25:AB27),IF($AK7=2,SUM(AB25:AB26),AB25))))</f>
        <v>0</v>
      </c>
      <c r="AC30" s="47">
        <f>IF($AK7=5,SUM(AC25:AC29),IF($AK7=4,SUM(AC25:AC28),IF($AK7=3,SUM(AC25:AC27),IF($AK7=2,SUM(AC25:AC26),AC25))))</f>
        <v>0</v>
      </c>
      <c r="AD30" s="47"/>
      <c r="AE30" s="47">
        <f>IF($AK7=5,SUM(AE25:AE29),IF($AK7=4,SUM(AE25:AE28),IF($AK7=3,SUM(AE25:AE27),IF($AK7=2,SUM(AE25:AE26),AE25))))</f>
        <v>0</v>
      </c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8" s="48" customFormat="1" ht="12.75" hidden="1" customHeight="1" x14ac:dyDescent="0.25">
      <c r="A31" s="48" t="s">
        <v>61</v>
      </c>
      <c r="B31" s="49">
        <f>IF(AND(B25&gt;D25,$AK8&gt;0,ISNUMBER(B25),ISNUMBER(D25)),1,0)</f>
        <v>0</v>
      </c>
      <c r="C31" s="49"/>
      <c r="D31" s="50">
        <f>IF(AND(D25&gt;B25,$AK8&gt;0,ISNUMBER(B25),ISNUMBER(D25)),1,0)</f>
        <v>1</v>
      </c>
      <c r="E31" s="49">
        <f>IF(AND(E25&gt;G25,$AK8&gt;1,ISNUMBER(E25),ISNUMBER(G25)),1,0)</f>
        <v>1</v>
      </c>
      <c r="F31" s="49"/>
      <c r="G31" s="50">
        <f>IF(AND(G25&gt;E25,$AK8&gt;1,ISNUMBER(E25),ISNUMBER(G25)),1,0)</f>
        <v>0</v>
      </c>
      <c r="H31" s="49">
        <f>IF(AND(H25&gt;J25,$AK8&gt;2,ISNUMBER(H25),ISNUMBER(J25)),1,0)</f>
        <v>0</v>
      </c>
      <c r="I31" s="49"/>
      <c r="J31" s="50">
        <f>IF(AND(J25&gt;H25,$AK8&gt;2,ISNUMBER(H25),ISNUMBER(J25)),1,0)</f>
        <v>1</v>
      </c>
      <c r="K31" s="49">
        <f>IF(AND(K25&gt;M25,$AK8&gt;3,ISNUMBER(K25),ISNUMBER(M25)),1,0)</f>
        <v>0</v>
      </c>
      <c r="L31" s="49"/>
      <c r="M31" s="50">
        <f>IF(AND(M25&gt;K25,$AK8&gt;3,ISNUMBER(K25),ISNUMBER(M25)),1,0)</f>
        <v>1</v>
      </c>
      <c r="N31" s="49">
        <f>IF(AND(N25&gt;P25,$AK8&gt;4,ISNUMBER(N25),ISNUMBER(P25)),1,0)</f>
        <v>0</v>
      </c>
      <c r="O31" s="49"/>
      <c r="P31" s="50">
        <f>IF(AND(P25&gt;N25,$AK8&gt;4,ISNUMBER(N25),ISNUMBER(P25)),1,0)</f>
        <v>1</v>
      </c>
      <c r="Q31" s="49">
        <f>IF(AND(Q25&gt;S25,$AK8&gt;5,ISNUMBER(Q25),ISNUMBER(S25)),1,0)</f>
        <v>1</v>
      </c>
      <c r="R31" s="49"/>
      <c r="S31" s="50">
        <f>IF(AND(S25&gt;Q25,$AK8&gt;5,ISNUMBER(Q25),ISNUMBER(S25)),1,0)</f>
        <v>0</v>
      </c>
      <c r="T31" s="49">
        <f>IF(AND(T25&gt;V25,$AK8&gt;6,ISNUMBER(T25),ISNUMBER(V25)),1,0)</f>
        <v>0</v>
      </c>
      <c r="U31" s="49"/>
      <c r="V31" s="50">
        <f>IF(AND(V25&gt;T25,$AK8&gt;6,ISNUMBER(T25),ISNUMBER(V25)),1,0)</f>
        <v>0</v>
      </c>
      <c r="W31" s="49">
        <f>IF(AND(W25&gt;Y25,$AK8&gt;7,ISNUMBER(W25),ISNUMBER(Y25)),1,0)</f>
        <v>0</v>
      </c>
      <c r="X31" s="49"/>
      <c r="Y31" s="50">
        <f>IF(AND(Y25&gt;W25,$AK8&gt;7,ISNUMBER(W25),ISNUMBER(Y25)),1,0)</f>
        <v>0</v>
      </c>
      <c r="Z31" s="49">
        <f>IF(AND(Z25&gt;AB25,$AK8&gt;8,ISNUMBER(Z25),ISNUMBER(AB25)),1,0)</f>
        <v>0</v>
      </c>
      <c r="AA31" s="49"/>
      <c r="AB31" s="50">
        <f>IF(AND(AB25&gt;Z25,$AK8&gt;8,ISNUMBER(Z25),ISNUMBER(AB25)),1,0)</f>
        <v>0</v>
      </c>
      <c r="AC31" s="49">
        <f>IF(AND(AC25&gt;AE25,$AK8&gt;9,ISNUMBER(AC25),ISNUMBER(AE25)),1,0)</f>
        <v>0</v>
      </c>
      <c r="AD31" s="49"/>
      <c r="AE31" s="50">
        <f>IF(AND(AE25&gt;AC25,$AK8&gt;9,ISNUMBER(AC25),ISNUMBER(AE25)),1,0)</f>
        <v>0</v>
      </c>
    </row>
    <row r="32" spans="1:48" s="48" customFormat="1" ht="12.75" hidden="1" customHeight="1" x14ac:dyDescent="0.25">
      <c r="A32" s="48" t="s">
        <v>62</v>
      </c>
      <c r="B32" s="49">
        <f>IF(AND(B26&gt;D26,$AK8&gt;0,$AK7&gt;1,ISNUMBER(B26),ISNUMBER(D26)),1,0)</f>
        <v>0</v>
      </c>
      <c r="C32" s="49"/>
      <c r="D32" s="50">
        <f>IF(AND(D26&gt;B26,$AK8&gt;0,$AK7&gt;1,ISNUMBER(B26),ISNUMBER(D26)),1,0)</f>
        <v>0</v>
      </c>
      <c r="E32" s="49">
        <f>IF(AND(E26&gt;G26,$AK8&gt;1,$AK7&gt;1,ISNUMBER(E26),ISNUMBER(G26)),1,0)</f>
        <v>0</v>
      </c>
      <c r="F32" s="49"/>
      <c r="G32" s="50">
        <f>IF(AND(G26&gt;E26,$AK8&gt;1,$AK7&gt;1,ISNUMBER(E26),ISNUMBER(G26)),1,0)</f>
        <v>0</v>
      </c>
      <c r="H32" s="49">
        <f>IF(AND(H26&gt;J26,$AK8&gt;2,$AK7&gt;1,ISNUMBER(H26),ISNUMBER(J26)),1,0)</f>
        <v>0</v>
      </c>
      <c r="I32" s="49"/>
      <c r="J32" s="50">
        <f>IF(AND(J26&gt;H26,$AK8&gt;2,$AK7&gt;1,ISNUMBER(H26),ISNUMBER(J26)),1,0)</f>
        <v>0</v>
      </c>
      <c r="K32" s="49">
        <f>IF(AND(K26&gt;M26,$AK8&gt;3,$AK7&gt;1,ISNUMBER(K26),ISNUMBER(M26)),1,0)</f>
        <v>0</v>
      </c>
      <c r="L32" s="49"/>
      <c r="M32" s="50">
        <f>IF(AND(M26&gt;K26,$AK8&gt;3,$AK7&gt;1,ISNUMBER(K26),ISNUMBER(M26)),1,0)</f>
        <v>0</v>
      </c>
      <c r="N32" s="49">
        <f>IF(AND(N26&gt;P26,$AK8&gt;4,$AK7&gt;1,ISNUMBER(N26),ISNUMBER(P26)),1,0)</f>
        <v>0</v>
      </c>
      <c r="O32" s="49"/>
      <c r="P32" s="50">
        <f>IF(AND(P26&gt;N26,$AK8&gt;4,$AK7&gt;1,ISNUMBER(N26),ISNUMBER(P26)),1,0)</f>
        <v>0</v>
      </c>
      <c r="Q32" s="49">
        <f>IF(AND(Q26&gt;S26,$AK8&gt;5,$AK7&gt;1,ISNUMBER(Q26),ISNUMBER(S26)),1,0)</f>
        <v>0</v>
      </c>
      <c r="R32" s="49"/>
      <c r="S32" s="50">
        <f>IF(AND(S26&gt;Q26,$AK8&gt;5,$AK7&gt;1,ISNUMBER(Q26),ISNUMBER(S26)),1,0)</f>
        <v>0</v>
      </c>
      <c r="T32" s="49">
        <f>IF(AND(T26&gt;V26,$AK8&gt;6,$AK7&gt;1,ISNUMBER(T26),ISNUMBER(V26)),1,0)</f>
        <v>0</v>
      </c>
      <c r="U32" s="49"/>
      <c r="V32" s="50">
        <f>IF(AND(V26&gt;T26,$AK8&gt;6,$AK7&gt;1,ISNUMBER(T26),ISNUMBER(V26)),1,0)</f>
        <v>0</v>
      </c>
      <c r="W32" s="49">
        <f>IF(AND(W26&gt;Y26,$AK8&gt;7,$AK7&gt;1,ISNUMBER(W26),ISNUMBER(Y26)),1,0)</f>
        <v>0</v>
      </c>
      <c r="X32" s="49"/>
      <c r="Y32" s="50">
        <f>IF(AND(Y26&gt;W26,$AK8&gt;7,$AK7&gt;1,ISNUMBER(W26),ISNUMBER(Y26)),1,0)</f>
        <v>0</v>
      </c>
      <c r="Z32" s="49">
        <f>IF(AND(Z26&gt;AB26,$AK8&gt;8,$AK7&gt;1,ISNUMBER(Z26),ISNUMBER(AB26)),1,0)</f>
        <v>0</v>
      </c>
      <c r="AA32" s="49"/>
      <c r="AB32" s="50">
        <f>IF(AND(AB26&gt;Z26,$AK8&gt;8,$AK7&gt;1,ISNUMBER(Z26),ISNUMBER(AB26)),1,0)</f>
        <v>0</v>
      </c>
      <c r="AC32" s="49">
        <f>IF(AND(AC26&gt;AE26,$AK8&gt;9,$AK7&gt;1,ISNUMBER(AC26),ISNUMBER(AE26)),1,0)</f>
        <v>0</v>
      </c>
      <c r="AD32" s="49"/>
      <c r="AE32" s="50">
        <f>IF(AND(AE26&gt;AC26,$AK8&gt;9,$AK7&gt;1,ISNUMBER(AC26),ISNUMBER(AE26)),1,0)</f>
        <v>0</v>
      </c>
    </row>
    <row r="33" spans="1:33" s="48" customFormat="1" ht="12.75" hidden="1" customHeight="1" x14ac:dyDescent="0.25">
      <c r="A33" s="48" t="s">
        <v>63</v>
      </c>
      <c r="B33" s="49">
        <f>IF(AND(B27&gt;D27,$AK8&gt;0,$AK7&gt;2,ISNUMBER(B27),ISNUMBER(D27)),1,0)</f>
        <v>0</v>
      </c>
      <c r="C33" s="49"/>
      <c r="D33" s="50">
        <f>IF(AND(D27&gt;B27,$AK8&gt;0,$AK7&gt;2,ISNUMBER(B27),ISNUMBER(D27)),1,0)</f>
        <v>0</v>
      </c>
      <c r="E33" s="49">
        <f>IF(AND(E27&gt;G27,$AK8&gt;1,$AK7&gt;2,ISNUMBER(E27),ISNUMBER(G27)),1,0)</f>
        <v>0</v>
      </c>
      <c r="F33" s="49"/>
      <c r="G33" s="50">
        <f>IF(AND(G27&gt;E27,$AK8&gt;1,$AK7&gt;2,ISNUMBER(E27),ISNUMBER(G27)),1,0)</f>
        <v>0</v>
      </c>
      <c r="H33" s="49">
        <f>IF(AND(H27&gt;J27,$AK8&gt;2,$AK7&gt;2,ISNUMBER(H27),ISNUMBER(J27)),1,0)</f>
        <v>0</v>
      </c>
      <c r="I33" s="49"/>
      <c r="J33" s="50">
        <f>IF(AND(J27&gt;H27,$AK8&gt;2,$AK7&gt;2,ISNUMBER(H27),ISNUMBER(J27)),1,0)</f>
        <v>0</v>
      </c>
      <c r="K33" s="49">
        <f>IF(AND(K27&gt;M27,$AK8&gt;3,$AK7&gt;2,ISNUMBER(K27),ISNUMBER(M27)),1,0)</f>
        <v>0</v>
      </c>
      <c r="L33" s="49"/>
      <c r="M33" s="50">
        <f>IF(AND(M27&gt;K27,$AK8&gt;3,$AK7&gt;2,ISNUMBER(K27),ISNUMBER(M27)),1,0)</f>
        <v>0</v>
      </c>
      <c r="N33" s="49">
        <f>IF(AND(N27&gt;P27,$AK8&gt;4,$AK7&gt;2,ISNUMBER(N27),ISNUMBER(P27)),1,0)</f>
        <v>0</v>
      </c>
      <c r="O33" s="49"/>
      <c r="P33" s="50">
        <f>IF(AND(P27&gt;N27,$AK8&gt;4,$AK7&gt;2,ISNUMBER(N27),ISNUMBER(P27)),1,0)</f>
        <v>0</v>
      </c>
      <c r="Q33" s="49">
        <f>IF(AND(Q27&gt;S27,$AK8&gt;5,$AK7&gt;2,ISNUMBER(Q27),ISNUMBER(S27)),1,0)</f>
        <v>0</v>
      </c>
      <c r="R33" s="49"/>
      <c r="S33" s="50">
        <f>IF(AND(S27&gt;Q27,$AK8&gt;5,$AK7&gt;2,ISNUMBER(Q27),ISNUMBER(S27)),1,0)</f>
        <v>0</v>
      </c>
      <c r="T33" s="49">
        <f>IF(AND(T27&gt;V27,$AK8&gt;6,$AK7&gt;2,ISNUMBER(T27),ISNUMBER(V27)),1,0)</f>
        <v>0</v>
      </c>
      <c r="U33" s="49"/>
      <c r="V33" s="50">
        <f>IF(AND(V27&gt;T27,$AK8&gt;6,$AK7&gt;2,ISNUMBER(T27),ISNUMBER(V27)),1,0)</f>
        <v>0</v>
      </c>
      <c r="W33" s="49">
        <f>IF(AND(W27&gt;Y27,$AK8&gt;7,$AK7&gt;2,ISNUMBER(W27),ISNUMBER(Y27)),1,0)</f>
        <v>0</v>
      </c>
      <c r="X33" s="49"/>
      <c r="Y33" s="50">
        <f>IF(AND(Y27&gt;W27,$AK8&gt;7,$AK7&gt;2,ISNUMBER(W27),ISNUMBER(Y27)),1,0)</f>
        <v>0</v>
      </c>
      <c r="Z33" s="49">
        <f>IF(AND(Z27&gt;AB27,$AK8&gt;8,$AK7&gt;2,ISNUMBER(Z27),ISNUMBER(AB27)),1,0)</f>
        <v>0</v>
      </c>
      <c r="AA33" s="49"/>
      <c r="AB33" s="50">
        <f>IF(AND(AB27&gt;Z27,$AK8&gt;8,$AK7&gt;2,ISNUMBER(Z27),ISNUMBER(AB27)),1,0)</f>
        <v>0</v>
      </c>
      <c r="AC33" s="49">
        <f>IF(AND(AC27&gt;AE27,$AK8&gt;9,$AK7&gt;2,ISNUMBER(AC27),ISNUMBER(AE27)),1,0)</f>
        <v>0</v>
      </c>
      <c r="AD33" s="49"/>
      <c r="AE33" s="50">
        <f>IF(AND(AE27&gt;AC27,$AK8&gt;9,$AK7&gt;2,ISNUMBER(AC27),ISNUMBER(AE27)),1,0)</f>
        <v>0</v>
      </c>
    </row>
    <row r="34" spans="1:33" s="48" customFormat="1" ht="12.75" hidden="1" customHeight="1" x14ac:dyDescent="0.25">
      <c r="A34" s="48" t="s">
        <v>64</v>
      </c>
      <c r="B34" s="49">
        <f>IF(AND(B28&gt;D28,$AK8&gt;0,$AK7&gt;3,ISNUMBER(B28),ISNUMBER(D28)),1,0)</f>
        <v>0</v>
      </c>
      <c r="C34" s="49"/>
      <c r="D34" s="50">
        <f>IF(AND(D28&gt;B28,$AK8&gt;0,$AK7&gt;3,ISNUMBER(B28),ISNUMBER(D28)),1,0)</f>
        <v>0</v>
      </c>
      <c r="E34" s="49">
        <f>IF(AND(E28&gt;G28,$AK8&gt;1,$AK7&gt;3,ISNUMBER(E28),ISNUMBER(G28)),1,0)</f>
        <v>0</v>
      </c>
      <c r="F34" s="49"/>
      <c r="G34" s="50">
        <f>IF(AND(G28&gt;E28,$AK8&gt;1,$AK7&gt;3,ISNUMBER(E28),ISNUMBER(G28)),1,0)</f>
        <v>0</v>
      </c>
      <c r="H34" s="49">
        <f>IF(AND(H28&gt;J28,$AK8&gt;2,$AK7&gt;3,ISNUMBER(H28),ISNUMBER(J28)),1,0)</f>
        <v>0</v>
      </c>
      <c r="I34" s="49"/>
      <c r="J34" s="50">
        <f>IF(AND(J28&gt;H28,$AK8&gt;2,$AK7&gt;3,ISNUMBER(H28),ISNUMBER(J28)),1,0)</f>
        <v>0</v>
      </c>
      <c r="K34" s="49">
        <f>IF(AND(K28&gt;M28,$AK8&gt;3,$AK7&gt;3,ISNUMBER(K28),ISNUMBER(M28)),1,0)</f>
        <v>0</v>
      </c>
      <c r="L34" s="49"/>
      <c r="M34" s="50">
        <f>IF(AND(M28&gt;K28,$AK8&gt;3,$AK7&gt;3,ISNUMBER(K28),ISNUMBER(M28)),1,0)</f>
        <v>0</v>
      </c>
      <c r="N34" s="49">
        <f>IF(AND(N28&gt;P28,$AK8&gt;4,$AK7&gt;3,ISNUMBER(N28),ISNUMBER(P28)),1,0)</f>
        <v>0</v>
      </c>
      <c r="O34" s="49"/>
      <c r="P34" s="50">
        <f>IF(AND(P28&gt;N28,$AK8&gt;4,$AK7&gt;3,ISNUMBER(N28),ISNUMBER(P28)),1,0)</f>
        <v>0</v>
      </c>
      <c r="Q34" s="49">
        <f>IF(AND(Q28&gt;S28,$AK8&gt;5,$AK7&gt;3,ISNUMBER(Q28),ISNUMBER(S28)),1,0)</f>
        <v>0</v>
      </c>
      <c r="R34" s="49"/>
      <c r="S34" s="50">
        <f>IF(AND(S28&gt;Q28,$AK8&gt;5,$AK7&gt;3,ISNUMBER(Q28),ISNUMBER(S28)),1,0)</f>
        <v>0</v>
      </c>
      <c r="T34" s="49">
        <f>IF(AND(T28&gt;V28,$AK8&gt;6,$AK7&gt;3,ISNUMBER(T28),ISNUMBER(V28)),1,0)</f>
        <v>0</v>
      </c>
      <c r="U34" s="49"/>
      <c r="V34" s="50">
        <f>IF(AND(V28&gt;T28,$AK8&gt;6,$AK7&gt;3,ISNUMBER(T28),ISNUMBER(V28)),1,0)</f>
        <v>0</v>
      </c>
      <c r="W34" s="49">
        <f>IF(AND(W28&gt;Y28,$AK8&gt;7,$AK7&gt;3,ISNUMBER(W28),ISNUMBER(Y28)),1,0)</f>
        <v>0</v>
      </c>
      <c r="X34" s="49"/>
      <c r="Y34" s="50">
        <f>IF(AND(Y28&gt;W28,$AK8&gt;7,$AK7&gt;3,ISNUMBER(W28),ISNUMBER(Y28)),1,0)</f>
        <v>0</v>
      </c>
      <c r="Z34" s="49">
        <f>IF(AND(Z28&gt;AB28,$AK8&gt;8,$AK7&gt;3,ISNUMBER(Z28),ISNUMBER(AB28)),1,0)</f>
        <v>0</v>
      </c>
      <c r="AA34" s="49"/>
      <c r="AB34" s="50">
        <f>IF(AND(AB28&gt;Z28,$AK8&gt;8,$AK7&gt;3,ISNUMBER(Z28),ISNUMBER(AB28)),1,0)</f>
        <v>0</v>
      </c>
      <c r="AC34" s="49">
        <f>IF(AND(AC28&gt;AE28,$AK8&gt;9,$AK7&gt;3,ISNUMBER(AC28),ISNUMBER(AE28)),1,0)</f>
        <v>0</v>
      </c>
      <c r="AD34" s="49"/>
      <c r="AE34" s="50">
        <f>IF(AND(AE28&gt;AC28,$AK8&gt;9,$AK7&gt;3,ISNUMBER(AC28),ISNUMBER(AE28)),1,0)</f>
        <v>0</v>
      </c>
    </row>
    <row r="35" spans="1:33" s="48" customFormat="1" ht="12.75" hidden="1" customHeight="1" x14ac:dyDescent="0.25">
      <c r="A35" s="48" t="s">
        <v>65</v>
      </c>
      <c r="B35" s="49">
        <f>IF(AND(B29&gt;D29,$AK8&gt;0,$AK7&gt;4,ISNUMBER(B29),ISNUMBER(D29)),1,0)</f>
        <v>0</v>
      </c>
      <c r="C35" s="49"/>
      <c r="D35" s="50">
        <f>IF(AND(D29&gt;B29,$AK8&gt;0,$AK7&gt;4,ISNUMBER(B29),ISNUMBER(D29)),1,0)</f>
        <v>0</v>
      </c>
      <c r="E35" s="49">
        <f>IF(AND(E29&gt;G29,$AK8&gt;1,$AK7&gt;4,ISNUMBER(E29),ISNUMBER(G29)),1,0)</f>
        <v>0</v>
      </c>
      <c r="F35" s="49"/>
      <c r="G35" s="50">
        <f>IF(AND(G29&gt;E29,$AK8&gt;1,$AK7&gt;4,ISNUMBER(E29),ISNUMBER(G29)),1,0)</f>
        <v>0</v>
      </c>
      <c r="H35" s="49">
        <f>IF(AND(H29&gt;J29,$AK8&gt;2,$AK7&gt;4,ISNUMBER(H29),ISNUMBER(J29)),1,0)</f>
        <v>0</v>
      </c>
      <c r="I35" s="49"/>
      <c r="J35" s="50">
        <f>IF(AND(J29&gt;H29,$AK8&gt;2,$AK7&gt;4,ISNUMBER(H29),ISNUMBER(J29)),1,0)</f>
        <v>0</v>
      </c>
      <c r="K35" s="49">
        <f>IF(AND(K29&gt;M29,$AK8&gt;3,$AK7&gt;4,ISNUMBER(K29),ISNUMBER(M29)),1,0)</f>
        <v>0</v>
      </c>
      <c r="L35" s="49"/>
      <c r="M35" s="50">
        <f>IF(AND(M29&gt;K29,$AK8&gt;3,$AK7&gt;4,ISNUMBER(K29),ISNUMBER(M29)),1,0)</f>
        <v>0</v>
      </c>
      <c r="N35" s="49">
        <f>IF(AND(N29&gt;P29,$AK8&gt;4,$AK7&gt;4,ISNUMBER(N29),ISNUMBER(P29)),1,0)</f>
        <v>0</v>
      </c>
      <c r="O35" s="49"/>
      <c r="P35" s="50">
        <f>IF(AND(P29&gt;N29,$AK8&gt;4,$AK7&gt;4,ISNUMBER(N29),ISNUMBER(P29)),1,0)</f>
        <v>0</v>
      </c>
      <c r="Q35" s="49">
        <f>IF(AND(Q29&gt;S29,$AK8&gt;5,$AK7&gt;4,ISNUMBER(Q29),ISNUMBER(S29)),1,0)</f>
        <v>0</v>
      </c>
      <c r="R35" s="49"/>
      <c r="S35" s="50">
        <f>IF(AND(S29&gt;Q29,$AK8&gt;5,$AK7&gt;4,ISNUMBER(Q29),ISNUMBER(S29)),1,0)</f>
        <v>0</v>
      </c>
      <c r="T35" s="49">
        <f>IF(AND(T29&gt;V29,$AK8&gt;6,$AK7&gt;4,ISNUMBER(T29),ISNUMBER(V29)),1,0)</f>
        <v>0</v>
      </c>
      <c r="U35" s="49"/>
      <c r="V35" s="50">
        <f>IF(AND(V29&gt;T29,$AK8&gt;6,$AK7&gt;4,ISNUMBER(T29),ISNUMBER(V29)),1,0)</f>
        <v>0</v>
      </c>
      <c r="W35" s="49">
        <f>IF(AND(W29&gt;Y29,$AK8&gt;7,$AK7&gt;4,ISNUMBER(W29),ISNUMBER(Y29)),1,0)</f>
        <v>0</v>
      </c>
      <c r="X35" s="49"/>
      <c r="Y35" s="50">
        <f>IF(AND(Y29&gt;W29,$AK8&gt;7,$AK7&gt;4,ISNUMBER(W29),ISNUMBER(Y29)),1,0)</f>
        <v>0</v>
      </c>
      <c r="Z35" s="49">
        <f>IF(AND(Z29&gt;AB29,$AK8&gt;8,$AK7&gt;4,ISNUMBER(Z29),ISNUMBER(AB29)),1,0)</f>
        <v>0</v>
      </c>
      <c r="AA35" s="49"/>
      <c r="AB35" s="50">
        <f>IF(AND(AB29&gt;Z29,$AK8&gt;8,$AK7&gt;4,ISNUMBER(Z29),ISNUMBER(AB29)),1,0)</f>
        <v>0</v>
      </c>
      <c r="AC35" s="49">
        <f>IF(AND(AC29&gt;AE29,$AK8&gt;9,$AK7&gt;4,ISNUMBER(AC29),ISNUMBER(AE29)),1,0)</f>
        <v>0</v>
      </c>
      <c r="AD35" s="49"/>
      <c r="AE35" s="50">
        <f>IF(AND(AE29&gt;AC29,$AK8&gt;9,$AK7&gt;4,ISNUMBER(AC29),ISNUMBER(AE29)),1,0)</f>
        <v>0</v>
      </c>
    </row>
    <row r="36" spans="1:33" s="48" customFormat="1" ht="38.25" hidden="1" customHeight="1" x14ac:dyDescent="0.25">
      <c r="A36" s="51" t="s">
        <v>66</v>
      </c>
      <c r="B36" s="48">
        <f>SUM(B31:B35)</f>
        <v>0</v>
      </c>
      <c r="D36" s="52">
        <f>SUM(D31:D35)</f>
        <v>1</v>
      </c>
      <c r="E36" s="48">
        <f>SUM(E31:E35)</f>
        <v>1</v>
      </c>
      <c r="G36" s="52">
        <f>SUM(G31:G35)</f>
        <v>0</v>
      </c>
      <c r="H36" s="48">
        <f>SUM(H31:H35)</f>
        <v>0</v>
      </c>
      <c r="J36" s="52">
        <f>SUM(J31:J35)</f>
        <v>1</v>
      </c>
      <c r="K36" s="48">
        <f>SUM(K31:K35)</f>
        <v>0</v>
      </c>
      <c r="M36" s="52">
        <f>SUM(M31:M35)</f>
        <v>1</v>
      </c>
      <c r="N36" s="48">
        <f>SUM(N31:N35)</f>
        <v>0</v>
      </c>
      <c r="P36" s="52">
        <f>SUM(P31:P35)</f>
        <v>1</v>
      </c>
      <c r="Q36" s="48">
        <f>SUM(Q31:Q35)</f>
        <v>1</v>
      </c>
      <c r="S36" s="52">
        <f>SUM(S31:S35)</f>
        <v>0</v>
      </c>
      <c r="T36" s="48">
        <f>SUM(T31:T35)</f>
        <v>0</v>
      </c>
      <c r="V36" s="52">
        <f>SUM(V31:V35)</f>
        <v>0</v>
      </c>
      <c r="W36" s="48">
        <f>SUM(W31:W35)</f>
        <v>0</v>
      </c>
      <c r="Y36" s="52">
        <f>SUM(Y31:Y35)</f>
        <v>0</v>
      </c>
      <c r="Z36" s="48">
        <f>SUM(Z31:Z35)</f>
        <v>0</v>
      </c>
      <c r="AB36" s="52">
        <f>SUM(AB31:AB35)</f>
        <v>0</v>
      </c>
      <c r="AC36" s="48">
        <f>SUM(AC31:AC35)</f>
        <v>0</v>
      </c>
      <c r="AE36" s="52">
        <f>SUM(AE31:AE35)</f>
        <v>0</v>
      </c>
    </row>
    <row r="37" spans="1:33" s="48" customFormat="1" ht="25.5" hidden="1" customHeight="1" x14ac:dyDescent="0.25">
      <c r="A37" s="51" t="s">
        <v>67</v>
      </c>
      <c r="B37" s="48">
        <f>IF(B36&gt;D36,IF(C71=AK7,1,IF(C71=AK7-1,1,0)),0)</f>
        <v>0</v>
      </c>
      <c r="C37" s="48">
        <f>B37+D37</f>
        <v>1</v>
      </c>
      <c r="D37" s="52">
        <f>IF(D36&gt;B36,IF(C71=AK7,1,IF(C71=AK7-1,1,0)),0)</f>
        <v>1</v>
      </c>
      <c r="E37" s="48">
        <f>IF(E36&gt;G36,IF(F71=AK7,1,IF(F71=AK7-1,1,0)),0)</f>
        <v>1</v>
      </c>
      <c r="F37" s="48">
        <f>E37+G37</f>
        <v>1</v>
      </c>
      <c r="G37" s="52">
        <f>IF(G36&gt;E36,IF(F71=AK7,1,IF(F71=AK7-1,1,0)),0)</f>
        <v>0</v>
      </c>
      <c r="H37" s="48">
        <f>IF(H36&gt;J36,IF(I71=AK7,1,IF(I71=AK7-1,1,0)),0)</f>
        <v>0</v>
      </c>
      <c r="I37" s="48">
        <f>H37+J37</f>
        <v>1</v>
      </c>
      <c r="J37" s="52">
        <f>IF(J36&gt;H36,IF(I71=AK7,1,IF(I71=AK7-1,1,0)),0)</f>
        <v>1</v>
      </c>
      <c r="K37" s="48">
        <f>IF(K36&gt;M36,IF(L71=AK7,1,IF(L71=AK7-1,1,0)),0)</f>
        <v>0</v>
      </c>
      <c r="L37" s="48">
        <f>K37+M37</f>
        <v>1</v>
      </c>
      <c r="M37" s="52">
        <f>IF(M36&gt;K36,IF(L71=AK7,1,IF(L71=AK7-1,1,0)),0)</f>
        <v>1</v>
      </c>
      <c r="N37" s="48">
        <f>IF(N36&gt;P36,IF(O71=AK7,1,IF(O71=AK7-1,1,0)),0)</f>
        <v>0</v>
      </c>
      <c r="O37" s="48">
        <f>N37+P37</f>
        <v>1</v>
      </c>
      <c r="P37" s="52">
        <f>IF(P36&gt;N36,IF(O71=AK7,1,IF(O71=AK7-1,1,0)),0)</f>
        <v>1</v>
      </c>
      <c r="Q37" s="48">
        <f>IF(Q36&gt;S36,IF(R71=AK7,1,IF(R71=AK7-1,1,0)),0)</f>
        <v>1</v>
      </c>
      <c r="R37" s="48">
        <f>Q37+S37</f>
        <v>1</v>
      </c>
      <c r="S37" s="52">
        <f>IF(S36&gt;Q36,IF(R71=AK7,1,IF(R71=AK7-1,1,0)),0)</f>
        <v>0</v>
      </c>
      <c r="T37" s="48">
        <f>IF(T36&gt;V36,IF(U71=AK7,1,IF(U71=AK7-1,1,0)),0)</f>
        <v>0</v>
      </c>
      <c r="U37" s="48">
        <f>T37+V37</f>
        <v>0</v>
      </c>
      <c r="V37" s="52">
        <f>IF(V36&gt;T36,IF(U71=AK7,1,IF(U71=AK7-1,1,0)),0)</f>
        <v>0</v>
      </c>
      <c r="W37" s="48">
        <f>IF(W36&gt;Y36,IF(X71=AK7,1,IF(X71=AK7-1,1,0)),0)</f>
        <v>0</v>
      </c>
      <c r="X37" s="48">
        <f>W37+Y37</f>
        <v>0</v>
      </c>
      <c r="Y37" s="52">
        <f>IF(Y36&gt;W36,IF(X71=AK7,1,IF(X71=AK7-1,1,0)),0)</f>
        <v>0</v>
      </c>
      <c r="Z37" s="48">
        <f>IF(Z36&gt;AB36,IF(AA71=AK7,1,IF(AA71=AK7-1,1,0)),0)</f>
        <v>0</v>
      </c>
      <c r="AA37" s="48">
        <f>Z37+AB37</f>
        <v>0</v>
      </c>
      <c r="AB37" s="52">
        <f>IF(AB36&gt;Z36,IF(AA71=AK7,1,IF(AA71=AK7-1,1,0)),0)</f>
        <v>0</v>
      </c>
      <c r="AC37" s="48">
        <f>IF(AC36&gt;AE36,IF(AD71=AK7,1,IF(AD71=AK7-1,1,0)),0)</f>
        <v>0</v>
      </c>
      <c r="AD37" s="48">
        <f>AC37+AE37</f>
        <v>0</v>
      </c>
      <c r="AE37" s="52">
        <f>IF(AE36&gt;AC36,IF(AD71=AK7,1,IF(AD71=AK7-1,1,0)),0)</f>
        <v>0</v>
      </c>
    </row>
    <row r="38" spans="1:33" s="48" customFormat="1" ht="25.5" hidden="1" customHeight="1" x14ac:dyDescent="0.25">
      <c r="A38" s="51"/>
      <c r="D38" s="52"/>
      <c r="G38" s="52"/>
      <c r="J38" s="52"/>
      <c r="M38" s="52"/>
      <c r="P38" s="52"/>
      <c r="S38" s="52"/>
      <c r="V38" s="52"/>
      <c r="Y38" s="52"/>
      <c r="AB38" s="52"/>
      <c r="AE38" s="52"/>
    </row>
    <row r="39" spans="1:33" s="48" customFormat="1" ht="12.75" hidden="1" customHeight="1" x14ac:dyDescent="0.25">
      <c r="A39" s="48" t="s">
        <v>68</v>
      </c>
      <c r="B39" s="48">
        <f>IF(B31=1,B25,0)</f>
        <v>0</v>
      </c>
      <c r="D39" s="52">
        <f t="shared" ref="D39:E43" si="0">IF(D31=1,D25,0)</f>
        <v>18</v>
      </c>
      <c r="E39" s="48">
        <f t="shared" si="0"/>
        <v>17</v>
      </c>
      <c r="G39" s="52">
        <f t="shared" ref="G39:H43" si="1">IF(G31=1,G25,0)</f>
        <v>0</v>
      </c>
      <c r="H39" s="48">
        <f t="shared" si="1"/>
        <v>0</v>
      </c>
      <c r="J39" s="52">
        <f t="shared" ref="J39:K43" si="2">IF(J31=1,J25,0)</f>
        <v>18</v>
      </c>
      <c r="K39" s="48">
        <f t="shared" si="2"/>
        <v>0</v>
      </c>
      <c r="M39" s="52">
        <f t="shared" ref="M39:N43" si="3">IF(M31=1,M25,0)</f>
        <v>16</v>
      </c>
      <c r="N39" s="48">
        <f t="shared" si="3"/>
        <v>0</v>
      </c>
      <c r="P39" s="52">
        <f t="shared" ref="P39:Q43" si="4">IF(P31=1,P25,0)</f>
        <v>24</v>
      </c>
      <c r="Q39" s="48">
        <f t="shared" si="4"/>
        <v>19</v>
      </c>
      <c r="S39" s="52">
        <f t="shared" ref="S39:T43" si="5">IF(S31=1,S25,0)</f>
        <v>0</v>
      </c>
      <c r="T39" s="48">
        <f t="shared" si="5"/>
        <v>0</v>
      </c>
      <c r="V39" s="52">
        <f t="shared" ref="V39:W43" si="6">IF(V31=1,V25,0)</f>
        <v>0</v>
      </c>
      <c r="W39" s="48">
        <f t="shared" si="6"/>
        <v>0</v>
      </c>
      <c r="Y39" s="52">
        <f t="shared" ref="Y39:Z43" si="7">IF(Y31=1,Y25,0)</f>
        <v>0</v>
      </c>
      <c r="Z39" s="48">
        <f t="shared" si="7"/>
        <v>0</v>
      </c>
      <c r="AB39" s="52">
        <f t="shared" ref="AB39:AC43" si="8">IF(AB31=1,AB25,0)</f>
        <v>0</v>
      </c>
      <c r="AC39" s="48">
        <f t="shared" si="8"/>
        <v>0</v>
      </c>
      <c r="AE39" s="52">
        <f>IF(AE31=1,AE25,0)</f>
        <v>0</v>
      </c>
    </row>
    <row r="40" spans="1:33" s="48" customFormat="1" ht="12.75" hidden="1" customHeight="1" x14ac:dyDescent="0.25">
      <c r="A40" s="48" t="s">
        <v>69</v>
      </c>
      <c r="B40" s="48">
        <f>IF(B32=1,B26,0)</f>
        <v>0</v>
      </c>
      <c r="D40" s="52">
        <f t="shared" si="0"/>
        <v>0</v>
      </c>
      <c r="E40" s="48">
        <f t="shared" si="0"/>
        <v>0</v>
      </c>
      <c r="G40" s="52">
        <f t="shared" si="1"/>
        <v>0</v>
      </c>
      <c r="H40" s="48">
        <f t="shared" si="1"/>
        <v>0</v>
      </c>
      <c r="J40" s="52">
        <f t="shared" si="2"/>
        <v>0</v>
      </c>
      <c r="K40" s="48">
        <f t="shared" si="2"/>
        <v>0</v>
      </c>
      <c r="M40" s="52">
        <f t="shared" si="3"/>
        <v>0</v>
      </c>
      <c r="N40" s="48">
        <f t="shared" si="3"/>
        <v>0</v>
      </c>
      <c r="P40" s="52">
        <f t="shared" si="4"/>
        <v>0</v>
      </c>
      <c r="Q40" s="48">
        <f t="shared" si="4"/>
        <v>0</v>
      </c>
      <c r="S40" s="52">
        <f t="shared" si="5"/>
        <v>0</v>
      </c>
      <c r="T40" s="48">
        <f t="shared" si="5"/>
        <v>0</v>
      </c>
      <c r="V40" s="52">
        <f t="shared" si="6"/>
        <v>0</v>
      </c>
      <c r="W40" s="48">
        <f t="shared" si="6"/>
        <v>0</v>
      </c>
      <c r="Y40" s="52">
        <f t="shared" si="7"/>
        <v>0</v>
      </c>
      <c r="Z40" s="48">
        <f t="shared" si="7"/>
        <v>0</v>
      </c>
      <c r="AB40" s="52">
        <f t="shared" si="8"/>
        <v>0</v>
      </c>
      <c r="AC40" s="48">
        <f t="shared" si="8"/>
        <v>0</v>
      </c>
      <c r="AE40" s="52">
        <f>IF(AE32=1,AE26,0)</f>
        <v>0</v>
      </c>
    </row>
    <row r="41" spans="1:33" s="48" customFormat="1" ht="12.75" hidden="1" customHeight="1" x14ac:dyDescent="0.25">
      <c r="A41" s="48" t="s">
        <v>70</v>
      </c>
      <c r="B41" s="48">
        <f>IF(B33=1,B27,0)</f>
        <v>0</v>
      </c>
      <c r="D41" s="52">
        <f t="shared" si="0"/>
        <v>0</v>
      </c>
      <c r="E41" s="48">
        <f t="shared" si="0"/>
        <v>0</v>
      </c>
      <c r="G41" s="52">
        <f t="shared" si="1"/>
        <v>0</v>
      </c>
      <c r="H41" s="48">
        <f t="shared" si="1"/>
        <v>0</v>
      </c>
      <c r="J41" s="52">
        <f t="shared" si="2"/>
        <v>0</v>
      </c>
      <c r="K41" s="48">
        <f t="shared" si="2"/>
        <v>0</v>
      </c>
      <c r="M41" s="52">
        <f t="shared" si="3"/>
        <v>0</v>
      </c>
      <c r="N41" s="48">
        <f t="shared" si="3"/>
        <v>0</v>
      </c>
      <c r="P41" s="52">
        <f t="shared" si="4"/>
        <v>0</v>
      </c>
      <c r="Q41" s="48">
        <f t="shared" si="4"/>
        <v>0</v>
      </c>
      <c r="S41" s="52">
        <f t="shared" si="5"/>
        <v>0</v>
      </c>
      <c r="T41" s="48">
        <f t="shared" si="5"/>
        <v>0</v>
      </c>
      <c r="V41" s="52">
        <f t="shared" si="6"/>
        <v>0</v>
      </c>
      <c r="W41" s="48">
        <f t="shared" si="6"/>
        <v>0</v>
      </c>
      <c r="Y41" s="52">
        <f t="shared" si="7"/>
        <v>0</v>
      </c>
      <c r="Z41" s="48">
        <f t="shared" si="7"/>
        <v>0</v>
      </c>
      <c r="AB41" s="52">
        <f t="shared" si="8"/>
        <v>0</v>
      </c>
      <c r="AC41" s="48">
        <f t="shared" si="8"/>
        <v>0</v>
      </c>
      <c r="AE41" s="52">
        <f>IF(AE33=1,AE27,0)</f>
        <v>0</v>
      </c>
    </row>
    <row r="42" spans="1:33" s="48" customFormat="1" ht="12.75" hidden="1" customHeight="1" x14ac:dyDescent="0.25">
      <c r="A42" s="48" t="s">
        <v>71</v>
      </c>
      <c r="B42" s="48">
        <f>IF(B34=1,B28,0)</f>
        <v>0</v>
      </c>
      <c r="D42" s="52">
        <f t="shared" si="0"/>
        <v>0</v>
      </c>
      <c r="E42" s="48">
        <f t="shared" si="0"/>
        <v>0</v>
      </c>
      <c r="G42" s="52">
        <f t="shared" si="1"/>
        <v>0</v>
      </c>
      <c r="H42" s="48">
        <f t="shared" si="1"/>
        <v>0</v>
      </c>
      <c r="J42" s="52">
        <f t="shared" si="2"/>
        <v>0</v>
      </c>
      <c r="K42" s="48">
        <f t="shared" si="2"/>
        <v>0</v>
      </c>
      <c r="M42" s="52">
        <f t="shared" si="3"/>
        <v>0</v>
      </c>
      <c r="N42" s="48">
        <f t="shared" si="3"/>
        <v>0</v>
      </c>
      <c r="P42" s="52">
        <f t="shared" si="4"/>
        <v>0</v>
      </c>
      <c r="Q42" s="48">
        <f t="shared" si="4"/>
        <v>0</v>
      </c>
      <c r="S42" s="52">
        <f t="shared" si="5"/>
        <v>0</v>
      </c>
      <c r="T42" s="48">
        <f t="shared" si="5"/>
        <v>0</v>
      </c>
      <c r="V42" s="52">
        <f t="shared" si="6"/>
        <v>0</v>
      </c>
      <c r="W42" s="48">
        <f t="shared" si="6"/>
        <v>0</v>
      </c>
      <c r="Y42" s="52">
        <f t="shared" si="7"/>
        <v>0</v>
      </c>
      <c r="Z42" s="48">
        <f t="shared" si="7"/>
        <v>0</v>
      </c>
      <c r="AB42" s="52">
        <f t="shared" si="8"/>
        <v>0</v>
      </c>
      <c r="AC42" s="48">
        <f t="shared" si="8"/>
        <v>0</v>
      </c>
      <c r="AE42" s="52">
        <f>IF(AE34=1,AE28,0)</f>
        <v>0</v>
      </c>
    </row>
    <row r="43" spans="1:33" s="48" customFormat="1" ht="12.75" hidden="1" customHeight="1" x14ac:dyDescent="0.25">
      <c r="A43" s="48" t="s">
        <v>72</v>
      </c>
      <c r="B43" s="48">
        <f>IF(B35=1,B29,0)</f>
        <v>0</v>
      </c>
      <c r="D43" s="52">
        <f t="shared" si="0"/>
        <v>0</v>
      </c>
      <c r="E43" s="48">
        <f t="shared" si="0"/>
        <v>0</v>
      </c>
      <c r="G43" s="52">
        <f t="shared" si="1"/>
        <v>0</v>
      </c>
      <c r="H43" s="48">
        <f t="shared" si="1"/>
        <v>0</v>
      </c>
      <c r="J43" s="52">
        <f t="shared" si="2"/>
        <v>0</v>
      </c>
      <c r="K43" s="48">
        <f t="shared" si="2"/>
        <v>0</v>
      </c>
      <c r="M43" s="52">
        <f t="shared" si="3"/>
        <v>0</v>
      </c>
      <c r="N43" s="48">
        <f t="shared" si="3"/>
        <v>0</v>
      </c>
      <c r="P43" s="52">
        <f t="shared" si="4"/>
        <v>0</v>
      </c>
      <c r="Q43" s="48">
        <f t="shared" si="4"/>
        <v>0</v>
      </c>
      <c r="S43" s="52">
        <f t="shared" si="5"/>
        <v>0</v>
      </c>
      <c r="T43" s="48">
        <f t="shared" si="5"/>
        <v>0</v>
      </c>
      <c r="V43" s="52">
        <f t="shared" si="6"/>
        <v>0</v>
      </c>
      <c r="W43" s="48">
        <f t="shared" si="6"/>
        <v>0</v>
      </c>
      <c r="Y43" s="52">
        <f t="shared" si="7"/>
        <v>0</v>
      </c>
      <c r="Z43" s="48">
        <f t="shared" si="7"/>
        <v>0</v>
      </c>
      <c r="AB43" s="52">
        <f t="shared" si="8"/>
        <v>0</v>
      </c>
      <c r="AC43" s="48">
        <f t="shared" si="8"/>
        <v>0</v>
      </c>
      <c r="AE43" s="52">
        <f>IF(AE35=1,AE29,0)</f>
        <v>0</v>
      </c>
    </row>
    <row r="44" spans="1:33" s="48" customFormat="1" ht="38.25" hidden="1" customHeight="1" x14ac:dyDescent="0.25">
      <c r="A44" s="51" t="s">
        <v>73</v>
      </c>
      <c r="B44" s="48">
        <f>SUM(B39:D43)</f>
        <v>18</v>
      </c>
      <c r="D44" s="52"/>
      <c r="E44" s="48">
        <f>SUM(E39:G43)</f>
        <v>17</v>
      </c>
      <c r="G44" s="52"/>
      <c r="H44" s="48">
        <f>SUM(H39:J43)</f>
        <v>18</v>
      </c>
      <c r="J44" s="52"/>
      <c r="K44" s="48">
        <f>SUM(K39:M43)</f>
        <v>16</v>
      </c>
      <c r="M44" s="52"/>
      <c r="N44" s="48">
        <f>SUM(N39:P43)</f>
        <v>24</v>
      </c>
      <c r="P44" s="52"/>
      <c r="Q44" s="48">
        <f>SUM(Q39:S43)</f>
        <v>19</v>
      </c>
      <c r="S44" s="52"/>
      <c r="T44" s="48">
        <f>SUM(T39:V43)</f>
        <v>0</v>
      </c>
      <c r="V44" s="52"/>
      <c r="W44" s="48">
        <f>SUM(W39:Y43)</f>
        <v>0</v>
      </c>
      <c r="Y44" s="52"/>
      <c r="Z44" s="48">
        <f>SUM(Z39:AB43)</f>
        <v>0</v>
      </c>
      <c r="AB44" s="52"/>
      <c r="AC44" s="48">
        <f>SUM(AC39:AE43)</f>
        <v>0</v>
      </c>
      <c r="AE44" s="52"/>
    </row>
    <row r="45" spans="1:33" s="48" customFormat="1" ht="38.25" hidden="1" customHeight="1" x14ac:dyDescent="0.25">
      <c r="A45" s="48" t="s">
        <v>74</v>
      </c>
      <c r="D45" s="52"/>
      <c r="G45" s="52"/>
      <c r="J45" s="52"/>
      <c r="M45" s="52"/>
      <c r="P45" s="52"/>
      <c r="S45" s="52"/>
      <c r="V45" s="52"/>
      <c r="Y45" s="52"/>
      <c r="AB45" s="52"/>
      <c r="AE45" s="52"/>
      <c r="AF45" s="51" t="s">
        <v>75</v>
      </c>
      <c r="AG45" s="48" t="s">
        <v>76</v>
      </c>
    </row>
    <row r="46" spans="1:33" s="48" customFormat="1" ht="12.75" hidden="1" customHeight="1" x14ac:dyDescent="0.25">
      <c r="A46" s="48" t="s">
        <v>77</v>
      </c>
      <c r="B46" s="48">
        <f>IF(B24=1,IF(B37=1,1,0),0)</f>
        <v>0</v>
      </c>
      <c r="D46" s="52">
        <f>IF(D24=1,IF(D37=1,1,0),0)</f>
        <v>0</v>
      </c>
      <c r="E46" s="48">
        <f>IF(E24=1,IF(E37=1,1,0),0)</f>
        <v>1</v>
      </c>
      <c r="G46" s="52">
        <f>IF(G24=1,IF(G37=1,1,0),0)</f>
        <v>0</v>
      </c>
      <c r="H46" s="48">
        <f>IF(H24=1,IF(H37=1,1,0),0)</f>
        <v>0</v>
      </c>
      <c r="J46" s="52">
        <f>IF(J24=1,IF(J37=1,1,0),0)</f>
        <v>0</v>
      </c>
      <c r="K46" s="48">
        <f>IF(K24=1,IF(K37=1,1,0),0)</f>
        <v>0</v>
      </c>
      <c r="M46" s="52">
        <f>IF(M24=1,IF(M37=1,1,0),0)</f>
        <v>0</v>
      </c>
      <c r="N46" s="48">
        <f>IF(N24=1,IF(N37=1,1,0),0)</f>
        <v>0</v>
      </c>
      <c r="P46" s="52">
        <f>IF(P24=1,IF(P37=1,1,0),0)</f>
        <v>0</v>
      </c>
      <c r="Q46" s="48">
        <f>IF(Q24=1,IF(Q37=1,1,0),0)</f>
        <v>1</v>
      </c>
      <c r="S46" s="52">
        <f>IF(S24=1,IF(S37=1,1,0),0)</f>
        <v>0</v>
      </c>
      <c r="T46" s="48">
        <f>IF(T24=1,IF(T37=1,1,0),0)</f>
        <v>0</v>
      </c>
      <c r="V46" s="52">
        <f>IF(V24=1,IF(V37=1,1,0),0)</f>
        <v>0</v>
      </c>
      <c r="W46" s="48">
        <f>IF(W24=1,IF(W37=1,1,0),0)</f>
        <v>0</v>
      </c>
      <c r="Y46" s="52">
        <f>IF(Y24=1,IF(Y37=1,1,0),0)</f>
        <v>0</v>
      </c>
      <c r="Z46" s="48">
        <f>IF(Z24=1,IF(Z37=1,1,0),0)</f>
        <v>0</v>
      </c>
      <c r="AB46" s="52">
        <f>IF(AB24=1,IF(AB37=1,1,0),0)</f>
        <v>0</v>
      </c>
      <c r="AC46" s="48">
        <f>IF(AC24=1,IF(AC37=1,1,0),0)</f>
        <v>0</v>
      </c>
      <c r="AE46" s="52">
        <f>IF(AE24=1,IF(AE37=1,1,0),0)</f>
        <v>0</v>
      </c>
      <c r="AF46" s="48">
        <f>SUM(B46:AE46)</f>
        <v>2</v>
      </c>
      <c r="AG46" s="48">
        <f>AF52-AF46</f>
        <v>1</v>
      </c>
    </row>
    <row r="47" spans="1:33" s="48" customFormat="1" ht="12.75" hidden="1" customHeight="1" x14ac:dyDescent="0.25">
      <c r="A47" s="48" t="s">
        <v>78</v>
      </c>
      <c r="B47" s="48">
        <f>IF(B24=2,IF(B37=1,1,0),0)</f>
        <v>0</v>
      </c>
      <c r="D47" s="52">
        <f>IF(D24=2,IF(D37=1,1,0),0)</f>
        <v>0</v>
      </c>
      <c r="E47" s="48">
        <f>IF(E24=2,IF(E37=1,1,0),0)</f>
        <v>0</v>
      </c>
      <c r="G47" s="52">
        <f>IF(G24=2,IF(G37=1,1,0),0)</f>
        <v>0</v>
      </c>
      <c r="H47" s="48">
        <f>IF(H24=2,IF(H37=1,1,0),0)</f>
        <v>0</v>
      </c>
      <c r="J47" s="52">
        <f>IF(J24=2,IF(J37=1,1,0),0)</f>
        <v>0</v>
      </c>
      <c r="K47" s="48">
        <f>IF(K24=2,IF(K37=1,1,0),0)</f>
        <v>0</v>
      </c>
      <c r="M47" s="52">
        <f>IF(M24=2,IF(M37=1,1,0),0)</f>
        <v>0</v>
      </c>
      <c r="N47" s="48">
        <f>IF(N24=2,IF(N37=1,1,0),0)</f>
        <v>0</v>
      </c>
      <c r="P47" s="52">
        <f>IF(P24=2,IF(P37=1,1,0),0)</f>
        <v>0</v>
      </c>
      <c r="Q47" s="48">
        <f>IF(Q24=2,IF(Q37=1,1,0),0)</f>
        <v>0</v>
      </c>
      <c r="S47" s="52">
        <f>IF(S24=2,IF(S37=1,1,0),0)</f>
        <v>0</v>
      </c>
      <c r="T47" s="48">
        <f>IF(T24=2,IF(T37=1,1,0),0)</f>
        <v>0</v>
      </c>
      <c r="V47" s="52">
        <f>IF(V24=2,IF(V37=1,1,0),0)</f>
        <v>0</v>
      </c>
      <c r="W47" s="48">
        <f>IF(W24=2,IF(W37=1,1,0),0)</f>
        <v>0</v>
      </c>
      <c r="Y47" s="52">
        <f>IF(Y24=2,IF(Y37=1,1,0),0)</f>
        <v>0</v>
      </c>
      <c r="Z47" s="48">
        <f>IF(Z24=2,IF(Z37=1,1,0),0)</f>
        <v>0</v>
      </c>
      <c r="AB47" s="52">
        <f>IF(AB24=2,IF(AB37=1,1,0),0)</f>
        <v>0</v>
      </c>
      <c r="AC47" s="48">
        <f>IF(AC24=2,IF(AC37=1,1,0),0)</f>
        <v>0</v>
      </c>
      <c r="AE47" s="52">
        <f>IF(AE24=2,IF(AE37=1,1,0),0)</f>
        <v>0</v>
      </c>
      <c r="AF47" s="48">
        <f>SUM(B47:AE47)</f>
        <v>0</v>
      </c>
      <c r="AG47" s="48">
        <f>AF53-AF47</f>
        <v>3</v>
      </c>
    </row>
    <row r="48" spans="1:33" s="48" customFormat="1" ht="12.75" hidden="1" customHeight="1" x14ac:dyDescent="0.25">
      <c r="A48" s="48" t="s">
        <v>79</v>
      </c>
      <c r="B48" s="48">
        <f>IF(B24=3,IF(B37=1,1,0),0)</f>
        <v>0</v>
      </c>
      <c r="D48" s="52">
        <f>IF(D24=3,IF(D37=1,1,0),0)</f>
        <v>1</v>
      </c>
      <c r="E48" s="48">
        <f>IF(E24=3,IF(E37=1,1,0),0)</f>
        <v>0</v>
      </c>
      <c r="G48" s="52">
        <f>IF(G24=3,IF(G37=1,1,0),0)</f>
        <v>0</v>
      </c>
      <c r="H48" s="48">
        <f>IF(H24=3,IF(H37=1,1,0),0)</f>
        <v>0</v>
      </c>
      <c r="J48" s="52">
        <f>IF(J24=3,IF(J37=1,1,0),0)</f>
        <v>0</v>
      </c>
      <c r="K48" s="48">
        <f>IF(K24=3,IF(K37=1,1,0),0)</f>
        <v>0</v>
      </c>
      <c r="M48" s="52">
        <f>IF(M24=3,IF(M37=1,1,0),0)</f>
        <v>1</v>
      </c>
      <c r="N48" s="48">
        <f>IF(N24=3,IF(N37=1,1,0),0)</f>
        <v>0</v>
      </c>
      <c r="P48" s="52">
        <f>IF(P24=3,IF(P37=1,1,0),0)</f>
        <v>0</v>
      </c>
      <c r="Q48" s="48">
        <f>IF(Q24=3,IF(Q37=1,1,0),0)</f>
        <v>0</v>
      </c>
      <c r="S48" s="52">
        <f>IF(S24=3,IF(S37=1,1,0),0)</f>
        <v>0</v>
      </c>
      <c r="T48" s="48">
        <f>IF(T24=3,IF(T37=1,1,0),0)</f>
        <v>0</v>
      </c>
      <c r="V48" s="52">
        <f>IF(V24=3,IF(V37=1,1,0),0)</f>
        <v>0</v>
      </c>
      <c r="W48" s="48">
        <f>IF(W24=3,IF(W37=1,1,0),0)</f>
        <v>0</v>
      </c>
      <c r="Y48" s="52">
        <f>IF(Y24=3,IF(Y37=1,1,0),0)</f>
        <v>0</v>
      </c>
      <c r="Z48" s="48">
        <f>IF(Z24=3,IF(Z37=1,1,0),0)</f>
        <v>0</v>
      </c>
      <c r="AB48" s="52">
        <f>IF(AB24=3,IF(AB37=1,1,0),0)</f>
        <v>0</v>
      </c>
      <c r="AC48" s="48">
        <f>IF(AC24=3,IF(AC37=1,1,0),0)</f>
        <v>0</v>
      </c>
      <c r="AE48" s="52">
        <f>IF(AE24=3,IF(AE37=1,1,0),0)</f>
        <v>0</v>
      </c>
      <c r="AF48" s="48">
        <f>SUM(B48:AE48)</f>
        <v>2</v>
      </c>
      <c r="AG48" s="48">
        <f>AF54-AF48</f>
        <v>1</v>
      </c>
    </row>
    <row r="49" spans="1:37" s="48" customFormat="1" ht="12.75" hidden="1" customHeight="1" x14ac:dyDescent="0.25">
      <c r="A49" s="48" t="s">
        <v>80</v>
      </c>
      <c r="B49" s="48">
        <f>IF(B24=4,IF(B37=1,1,0),0)</f>
        <v>0</v>
      </c>
      <c r="D49" s="52">
        <f>IF(D24=4,IF(D37=1,1,0),0)</f>
        <v>0</v>
      </c>
      <c r="E49" s="48">
        <f>IF(E24=4,IF(E37=1,1,0),0)</f>
        <v>0</v>
      </c>
      <c r="G49" s="52">
        <f>IF(G24=4,IF(G37=1,1,0),0)</f>
        <v>0</v>
      </c>
      <c r="H49" s="48">
        <f>IF(H24=4,IF(H37=1,1,0),0)</f>
        <v>0</v>
      </c>
      <c r="J49" s="52">
        <f>IF(J24=4,IF(J37=1,1,0),0)</f>
        <v>1</v>
      </c>
      <c r="K49" s="48">
        <f>IF(K24=4,IF(K37=1,1,0),0)</f>
        <v>0</v>
      </c>
      <c r="M49" s="52">
        <f>IF(M24=4,IF(M37=1,1,0),0)</f>
        <v>0</v>
      </c>
      <c r="N49" s="48">
        <f>IF(N24=4,IF(N37=1,1,0),0)</f>
        <v>0</v>
      </c>
      <c r="P49" s="52">
        <f>IF(P24=4,IF(P37=1,1,0),0)</f>
        <v>1</v>
      </c>
      <c r="Q49" s="48">
        <f>IF(Q24=4,IF(Q37=1,1,0),0)</f>
        <v>0</v>
      </c>
      <c r="S49" s="52">
        <f>IF(S24=4,IF(S37=1,1,0),0)</f>
        <v>0</v>
      </c>
      <c r="T49" s="48">
        <f>IF(T24=4,IF(T37=1,1,0),0)</f>
        <v>0</v>
      </c>
      <c r="V49" s="52">
        <f>IF(V24=4,IF(V37=1,1,0),0)</f>
        <v>0</v>
      </c>
      <c r="W49" s="48">
        <f>IF(W24=4,IF(W37=1,1,0),0)</f>
        <v>0</v>
      </c>
      <c r="Y49" s="52">
        <f>IF(Y24=4,IF(Y37=1,1,0),0)</f>
        <v>0</v>
      </c>
      <c r="Z49" s="48">
        <f>IF(Z24=4,IF(Z37=1,1,0),0)</f>
        <v>0</v>
      </c>
      <c r="AB49" s="52">
        <f>IF(AB24=4,IF(AB37=1,1,0),0)</f>
        <v>0</v>
      </c>
      <c r="AC49" s="48">
        <f>IF(AC24=4,IF(AC37=1,1,0),0)</f>
        <v>0</v>
      </c>
      <c r="AE49" s="52">
        <f>IF(AE24=4,IF(AE37=1,1,0),0)</f>
        <v>0</v>
      </c>
      <c r="AF49" s="48">
        <f>SUM(B49:AE49)</f>
        <v>2</v>
      </c>
      <c r="AG49" s="48">
        <f>AF55-AF49</f>
        <v>1</v>
      </c>
    </row>
    <row r="50" spans="1:37" s="48" customFormat="1" ht="12.75" hidden="1" customHeight="1" x14ac:dyDescent="0.25">
      <c r="A50" s="48" t="s">
        <v>81</v>
      </c>
      <c r="B50" s="48">
        <f>IF(B24=5,IF(B37=1,1,0),0)</f>
        <v>0</v>
      </c>
      <c r="D50" s="52">
        <f>IF(D24=5,IF(D37=1,1,0),0)</f>
        <v>0</v>
      </c>
      <c r="E50" s="48">
        <f>IF(E24=5,IF(E37=1,1,0),0)</f>
        <v>0</v>
      </c>
      <c r="G50" s="52">
        <f>IF(G24=5,IF(G37=1,1,0),0)</f>
        <v>0</v>
      </c>
      <c r="H50" s="48">
        <f>IF(H24=5,IF(H37=1,1,0),0)</f>
        <v>0</v>
      </c>
      <c r="J50" s="52">
        <f>IF(J24=5,IF(J37=1,1,0),0)</f>
        <v>0</v>
      </c>
      <c r="K50" s="48">
        <f>IF(K24=5,IF(K37=1,1,0),0)</f>
        <v>0</v>
      </c>
      <c r="M50" s="52">
        <f>IF(M24=5,IF(M37=1,1,0),0)</f>
        <v>0</v>
      </c>
      <c r="N50" s="48">
        <f>IF(N24=5,IF(N37=1,1,0),0)</f>
        <v>0</v>
      </c>
      <c r="P50" s="52">
        <f>IF(P24=5,IF(P37=1,1,0),0)</f>
        <v>0</v>
      </c>
      <c r="Q50" s="48">
        <f>IF(Q24=5,IF(Q37=1,1,0),0)</f>
        <v>0</v>
      </c>
      <c r="S50" s="52">
        <f>IF(S24=5,IF(S37=1,1,0),0)</f>
        <v>0</v>
      </c>
      <c r="T50" s="48">
        <f>IF(T24=5,IF(T37=1,1,0),0)</f>
        <v>0</v>
      </c>
      <c r="V50" s="52">
        <f>IF(V24=5,IF(V37=1,1,0),0)</f>
        <v>0</v>
      </c>
      <c r="W50" s="48">
        <f>IF(W24=5,IF(W37=1,1,0),0)</f>
        <v>0</v>
      </c>
      <c r="Y50" s="52">
        <f>IF(Y24=5,IF(Y37=1,1,0),0)</f>
        <v>0</v>
      </c>
      <c r="Z50" s="48">
        <f>IF(Z24=5,IF(Z37=1,1,0),0)</f>
        <v>0</v>
      </c>
      <c r="AB50" s="52">
        <f>IF(AB24=5,IF(AB37=1,1,0),0)</f>
        <v>0</v>
      </c>
      <c r="AC50" s="48">
        <f>IF(AC24=5,IF(AC37=1,1,0),0)</f>
        <v>0</v>
      </c>
      <c r="AE50" s="52">
        <f>IF(AE24=5,IF(AE37=1,1,0),0)</f>
        <v>0</v>
      </c>
      <c r="AF50" s="48">
        <f>SUM(B50:AE50)</f>
        <v>0</v>
      </c>
      <c r="AG50" s="48">
        <f>AF56-AF50</f>
        <v>0</v>
      </c>
    </row>
    <row r="51" spans="1:37" s="48" customFormat="1" ht="38.25" hidden="1" customHeight="1" x14ac:dyDescent="0.25">
      <c r="A51" s="51"/>
      <c r="D51" s="52"/>
      <c r="G51" s="52"/>
      <c r="J51" s="52"/>
      <c r="M51" s="52"/>
      <c r="P51" s="52"/>
      <c r="S51" s="52"/>
      <c r="V51" s="52"/>
      <c r="Y51" s="52"/>
      <c r="AB51" s="52"/>
      <c r="AE51" s="52"/>
      <c r="AF51" s="51" t="s">
        <v>82</v>
      </c>
    </row>
    <row r="52" spans="1:37" s="48" customFormat="1" ht="12.75" hidden="1" customHeight="1" x14ac:dyDescent="0.25">
      <c r="A52" s="48" t="s">
        <v>83</v>
      </c>
      <c r="B52" s="48">
        <f>IF(B24=1,IF(C37=1,1,0),0)</f>
        <v>0</v>
      </c>
      <c r="D52" s="52">
        <f>IF(D24=1,IF(C37=1,1,0),0)</f>
        <v>0</v>
      </c>
      <c r="E52" s="48">
        <f>IF(E24=1,IF(F37=1,1,0),0)</f>
        <v>1</v>
      </c>
      <c r="G52" s="52">
        <f>IF(G24=1,IF(F37=1,1,0),0)</f>
        <v>0</v>
      </c>
      <c r="H52" s="48">
        <f>IF(H24=1,IF(I37=1,1,0),0)</f>
        <v>0</v>
      </c>
      <c r="J52" s="52">
        <f>IF(J24=1,IF(I37=1,1,0),0)</f>
        <v>0</v>
      </c>
      <c r="K52" s="48">
        <f>IF(K24=1,IF(L37=1,1,0),0)</f>
        <v>1</v>
      </c>
      <c r="M52" s="52">
        <f>IF(M24=1,IF(L37=1,1,0),0)</f>
        <v>0</v>
      </c>
      <c r="N52" s="48">
        <f>IF(N24=1,IF(O37=1,1,0),0)</f>
        <v>0</v>
      </c>
      <c r="P52" s="52">
        <f>IF(P24=1,IF(O37=1,1,0),0)</f>
        <v>0</v>
      </c>
      <c r="Q52" s="48">
        <f>IF(Q24=1,IF(R37=1,1,0),0)</f>
        <v>1</v>
      </c>
      <c r="S52" s="52">
        <f>IF(S24=1,IF(R37=1,1,0),0)</f>
        <v>0</v>
      </c>
      <c r="T52" s="48">
        <f>IF(T24=1,IF(U37=1,1,0),0)</f>
        <v>0</v>
      </c>
      <c r="V52" s="52">
        <f>IF(V24=1,IF(U37=1,1,0),0)</f>
        <v>0</v>
      </c>
      <c r="W52" s="48">
        <f>IF(W24=1,IF(X37=1,1,0),0)</f>
        <v>0</v>
      </c>
      <c r="Y52" s="52">
        <f>IF(Y24=1,IF(X37=1,1,0),0)</f>
        <v>0</v>
      </c>
      <c r="Z52" s="48">
        <f>IF(Z24=1,IF(AA37=1,1,0),0)</f>
        <v>0</v>
      </c>
      <c r="AB52" s="52">
        <f>IF(AB24=1,IF(AA37=1,1,0),0)</f>
        <v>0</v>
      </c>
      <c r="AC52" s="48">
        <f>IF(AC24=1,IF(AD37=1,1,0),0)</f>
        <v>0</v>
      </c>
      <c r="AE52" s="52">
        <f>IF(AE24=1,IF(AD37=1,1,0),0)</f>
        <v>0</v>
      </c>
      <c r="AF52" s="48">
        <f>SUM(B52:AE52)</f>
        <v>3</v>
      </c>
    </row>
    <row r="53" spans="1:37" s="48" customFormat="1" ht="12.75" hidden="1" customHeight="1" x14ac:dyDescent="0.25">
      <c r="A53" s="48" t="s">
        <v>84</v>
      </c>
      <c r="B53" s="48">
        <f>IF(B24=2,IF(C37=1,1,0),0)</f>
        <v>1</v>
      </c>
      <c r="D53" s="52">
        <f>IF(D24=2,IF(C37=1,1,0),0)</f>
        <v>0</v>
      </c>
      <c r="E53" s="48">
        <f>IF(E24=2,IF(F37=1,1,0),0)</f>
        <v>0</v>
      </c>
      <c r="G53" s="52">
        <f>IF(G24=2,IF(F37=1,1,0),0)</f>
        <v>0</v>
      </c>
      <c r="H53" s="48">
        <f>IF(H24=2,IF(I37=1,1,0),0)</f>
        <v>1</v>
      </c>
      <c r="J53" s="52">
        <f>IF(J24=2,IF(I37=1,1,0),0)</f>
        <v>0</v>
      </c>
      <c r="K53" s="48">
        <f>IF(K24=2,IF(L37=1,1,0),0)</f>
        <v>0</v>
      </c>
      <c r="M53" s="52">
        <f>IF(M24=2,IF(L37=1,1,0),0)</f>
        <v>0</v>
      </c>
      <c r="N53" s="48">
        <f>IF(N24=2,IF(O37=1,1,0),0)</f>
        <v>0</v>
      </c>
      <c r="P53" s="52">
        <f>IF(P24=2,IF(O37=1,1,0),0)</f>
        <v>0</v>
      </c>
      <c r="Q53" s="48">
        <f>IF(Q24=2,IF(R37=1,1,0),0)</f>
        <v>0</v>
      </c>
      <c r="S53" s="52">
        <f>IF(S24=2,IF(R37=1,1,0),0)</f>
        <v>1</v>
      </c>
      <c r="T53" s="48">
        <f>IF(T24=2,IF(U37=1,1,0),0)</f>
        <v>0</v>
      </c>
      <c r="V53" s="52">
        <f>IF(V24=2,IF(U37=1,1,0),0)</f>
        <v>0</v>
      </c>
      <c r="W53" s="48">
        <f>IF(W24=2,IF(X37=1,1,0),0)</f>
        <v>0</v>
      </c>
      <c r="Y53" s="52">
        <f>IF(Y24=2,IF(X37=1,1,0),0)</f>
        <v>0</v>
      </c>
      <c r="Z53" s="48">
        <f>IF(Z24=2,IF(AA37=1,1,0),0)</f>
        <v>0</v>
      </c>
      <c r="AB53" s="52">
        <f>IF(AB24=2,IF(AA37=1,1,0),0)</f>
        <v>0</v>
      </c>
      <c r="AC53" s="48">
        <f>IF(AC24=2,IF(AD37=1,1,0),0)</f>
        <v>0</v>
      </c>
      <c r="AE53" s="52">
        <f>IF(AE24=2,IF(AD37=1,1,0),0)</f>
        <v>0</v>
      </c>
      <c r="AF53" s="48">
        <f>SUM(B53:AE53)</f>
        <v>3</v>
      </c>
    </row>
    <row r="54" spans="1:37" s="48" customFormat="1" ht="12.75" hidden="1" customHeight="1" x14ac:dyDescent="0.25">
      <c r="A54" s="48" t="s">
        <v>85</v>
      </c>
      <c r="B54" s="48">
        <f>IF(B24=3,IF(C37=1,1,0),0)</f>
        <v>0</v>
      </c>
      <c r="D54" s="52">
        <f>IF(D24=3,IF(C37=1,1,0),0)</f>
        <v>1</v>
      </c>
      <c r="E54" s="48">
        <f>IF(E24=3,IF(F37=1,1,0),0)</f>
        <v>0</v>
      </c>
      <c r="G54" s="52">
        <f>IF(G24=3,IF(F37=1,1,0),0)</f>
        <v>0</v>
      </c>
      <c r="H54" s="48">
        <f>IF(H24=3,IF(I37=1,1,0),0)</f>
        <v>0</v>
      </c>
      <c r="J54" s="52">
        <f>IF(J24=3,IF(I37=1,1,0),0)</f>
        <v>0</v>
      </c>
      <c r="K54" s="48">
        <f>IF(K24=3,IF(L37=1,1,0),0)</f>
        <v>0</v>
      </c>
      <c r="M54" s="52">
        <f>IF(M24=3,IF(L37=1,1,0),0)</f>
        <v>1</v>
      </c>
      <c r="N54" s="48">
        <f>IF(N24=3,IF(O37=1,1,0),0)</f>
        <v>1</v>
      </c>
      <c r="P54" s="52">
        <f>IF(P24=3,IF(O37=1,1,0),0)</f>
        <v>0</v>
      </c>
      <c r="Q54" s="48">
        <f>IF(Q24=3,IF(R37=1,1,0),0)</f>
        <v>0</v>
      </c>
      <c r="S54" s="52">
        <f>IF(S24=3,IF(R37=1,1,0),0)</f>
        <v>0</v>
      </c>
      <c r="T54" s="48">
        <f>IF(T24=3,IF(U37=1,1,0),0)</f>
        <v>0</v>
      </c>
      <c r="V54" s="52">
        <f>IF(V24=3,IF(U37=1,1,0),0)</f>
        <v>0</v>
      </c>
      <c r="W54" s="48">
        <f>IF(W24=3,IF(X37=1,1,0),0)</f>
        <v>0</v>
      </c>
      <c r="Y54" s="52">
        <f>IF(Y24=3,IF(X37=1,1,0),0)</f>
        <v>0</v>
      </c>
      <c r="Z54" s="48">
        <f>IF(Z24=3,IF(AA37=1,1,0),0)</f>
        <v>0</v>
      </c>
      <c r="AB54" s="52">
        <f>IF(AB24=3,IF(AA37=1,1,0),0)</f>
        <v>0</v>
      </c>
      <c r="AC54" s="48">
        <f>IF(AC24=3,IF(AD37=1,1,0),0)</f>
        <v>0</v>
      </c>
      <c r="AE54" s="52">
        <f>IF(AE24=3,IF(AD37=1,1,0),0)</f>
        <v>0</v>
      </c>
      <c r="AF54" s="48">
        <f>SUM(B54:AE54)</f>
        <v>3</v>
      </c>
    </row>
    <row r="55" spans="1:37" s="48" customFormat="1" ht="12.75" hidden="1" customHeight="1" x14ac:dyDescent="0.25">
      <c r="A55" s="48" t="s">
        <v>86</v>
      </c>
      <c r="B55" s="48">
        <f>IF(B24=4,IF(C37=1,1,0),0)</f>
        <v>0</v>
      </c>
      <c r="D55" s="52">
        <f>IF(D24=4,IF(C37=1,1,0),0)</f>
        <v>0</v>
      </c>
      <c r="E55" s="48">
        <f>IF(E24=4,IF(F37=1,1,0),0)</f>
        <v>0</v>
      </c>
      <c r="G55" s="52">
        <f>IF(G24=4,IF(F37=1,1,0),0)</f>
        <v>1</v>
      </c>
      <c r="H55" s="48">
        <f>IF(H24=4,IF(I37=1,1,0),0)</f>
        <v>0</v>
      </c>
      <c r="J55" s="52">
        <f>IF(J24=4,IF(I37=1,1,0),0)</f>
        <v>1</v>
      </c>
      <c r="K55" s="48">
        <f>IF(K24=4,IF(L37=1,1,0),0)</f>
        <v>0</v>
      </c>
      <c r="M55" s="52">
        <f>IF(M24=4,IF(L37=1,1,0),0)</f>
        <v>0</v>
      </c>
      <c r="N55" s="48">
        <f>IF(N24=4,IF(O37=1,1,0),0)</f>
        <v>0</v>
      </c>
      <c r="P55" s="52">
        <f>IF(P24=4,IF(O37=1,1,0),0)</f>
        <v>1</v>
      </c>
      <c r="Q55" s="48">
        <f>IF(Q24=4,IF(R37=1,1,0),0)</f>
        <v>0</v>
      </c>
      <c r="S55" s="52">
        <f>IF(S24=4,IF(R37=1,1,0),0)</f>
        <v>0</v>
      </c>
      <c r="T55" s="48">
        <f>IF(T24=4,IF(U37=1,1,0),0)</f>
        <v>0</v>
      </c>
      <c r="V55" s="52">
        <f>IF(V24=4,IF(U37=1,1,0),0)</f>
        <v>0</v>
      </c>
      <c r="W55" s="48">
        <f>IF(W24=4,IF(X37=1,1,0),0)</f>
        <v>0</v>
      </c>
      <c r="Y55" s="52">
        <f>IF(Y24=4,IF(X37=1,1,0),0)</f>
        <v>0</v>
      </c>
      <c r="Z55" s="48">
        <f>IF(Z24=4,IF(AA37=1,1,0),0)</f>
        <v>0</v>
      </c>
      <c r="AB55" s="52">
        <f>IF(AB24=4,IF(AA37=1,1,0),0)</f>
        <v>0</v>
      </c>
      <c r="AC55" s="48">
        <f>IF(AC24=4,IF(AD37=1,1,0),0)</f>
        <v>0</v>
      </c>
      <c r="AE55" s="52">
        <f>IF(AE24=4,IF(AD37=1,1,0),0)</f>
        <v>0</v>
      </c>
      <c r="AF55" s="48">
        <f>SUM(B55:AE55)</f>
        <v>3</v>
      </c>
    </row>
    <row r="56" spans="1:37" s="48" customFormat="1" ht="12.75" hidden="1" customHeight="1" x14ac:dyDescent="0.25">
      <c r="A56" s="48" t="s">
        <v>87</v>
      </c>
      <c r="B56" s="48">
        <f>IF(B24=5,IF(C37=1,1,0),0)</f>
        <v>0</v>
      </c>
      <c r="D56" s="52">
        <f>IF(D24=5,IF(C37=1,1,0),0)</f>
        <v>0</v>
      </c>
      <c r="E56" s="48">
        <f>IF(E24=5,IF(F37=1,1,0),0)</f>
        <v>0</v>
      </c>
      <c r="G56" s="52">
        <f>IF(G24=5,IF(F37=1,1,0),0)</f>
        <v>0</v>
      </c>
      <c r="H56" s="48">
        <f>IF(H24=5,IF(I37=1,1,0),0)</f>
        <v>0</v>
      </c>
      <c r="J56" s="52">
        <f>IF(J24=5,IF(I37=1,1,0),0)</f>
        <v>0</v>
      </c>
      <c r="K56" s="48">
        <f>IF(K24=5,IF(L37=1,1,0),0)</f>
        <v>0</v>
      </c>
      <c r="M56" s="52">
        <f>IF(M24=5,IF(L37=1,1,0),0)</f>
        <v>0</v>
      </c>
      <c r="N56" s="48">
        <f>IF(N24=5,IF(O37=1,1,0),0)</f>
        <v>0</v>
      </c>
      <c r="P56" s="52">
        <f>IF(P24=5,IF(O37=1,1,0),0)</f>
        <v>0</v>
      </c>
      <c r="Q56" s="48">
        <f>IF(Q24=5,IF(R37=1,1,0),0)</f>
        <v>0</v>
      </c>
      <c r="S56" s="52">
        <f>IF(S24=5,IF(R37=1,1,0),0)</f>
        <v>0</v>
      </c>
      <c r="T56" s="48">
        <f>IF(T24=5,IF(U37=1,1,0),0)</f>
        <v>0</v>
      </c>
      <c r="V56" s="52">
        <f>IF(V24=5,IF(U37=1,1,0),0)</f>
        <v>0</v>
      </c>
      <c r="W56" s="48">
        <f>IF(W24=5,IF(X37=1,1,0),0)</f>
        <v>0</v>
      </c>
      <c r="Y56" s="52">
        <f>IF(Y24=5,IF(X37=1,1,0),0)</f>
        <v>0</v>
      </c>
      <c r="Z56" s="48">
        <f>IF(Z24=5,IF(AA37=1,1,0),0)</f>
        <v>0</v>
      </c>
      <c r="AB56" s="52">
        <f>IF(AB24=5,IF(AA37=1,1,0),0)</f>
        <v>0</v>
      </c>
      <c r="AC56" s="48">
        <f>IF(AC24=5,IF(AD37=1,1,0),0)</f>
        <v>0</v>
      </c>
      <c r="AE56" s="52">
        <f>IF(AE24=5,IF(AD37=1,1,0),0)</f>
        <v>0</v>
      </c>
      <c r="AF56" s="48">
        <f>SUM(B56:AE56)</f>
        <v>0</v>
      </c>
    </row>
    <row r="57" spans="1:37" s="48" customFormat="1" ht="38.25" hidden="1" customHeight="1" x14ac:dyDescent="0.25">
      <c r="A57" s="51"/>
      <c r="D57" s="52"/>
      <c r="G57" s="52"/>
      <c r="J57" s="52"/>
      <c r="M57" s="52"/>
      <c r="P57" s="52"/>
      <c r="S57" s="52"/>
      <c r="V57" s="52"/>
      <c r="Y57" s="52"/>
      <c r="AB57" s="52"/>
      <c r="AE57" s="52"/>
      <c r="AF57" s="51" t="s">
        <v>88</v>
      </c>
      <c r="AG57" s="150"/>
      <c r="AH57" s="150"/>
      <c r="AI57" s="150"/>
      <c r="AJ57" s="150"/>
      <c r="AK57" s="150"/>
    </row>
    <row r="58" spans="1:37" s="48" customFormat="1" ht="12.75" hidden="1" customHeight="1" x14ac:dyDescent="0.25">
      <c r="A58" s="48" t="s">
        <v>83</v>
      </c>
      <c r="B58" s="48">
        <f>IF(B24=1,B44,0)</f>
        <v>0</v>
      </c>
      <c r="D58" s="52">
        <f>IF(D24=1,B44,0)</f>
        <v>0</v>
      </c>
      <c r="E58" s="48">
        <f>IF(E24=1,E44,0)</f>
        <v>17</v>
      </c>
      <c r="G58" s="52">
        <f>IF(G24=1,E44,0)</f>
        <v>0</v>
      </c>
      <c r="H58" s="48">
        <f>IF(H24=1,H44,0)</f>
        <v>0</v>
      </c>
      <c r="J58" s="52">
        <f>IF(J24=1,H44,0)</f>
        <v>0</v>
      </c>
      <c r="K58" s="48">
        <f>IF(K24=1,K44,0)</f>
        <v>16</v>
      </c>
      <c r="M58" s="52">
        <f>IF(M24=1,K44,0)</f>
        <v>0</v>
      </c>
      <c r="N58" s="48">
        <f>IF(N24=1,N44,0)</f>
        <v>0</v>
      </c>
      <c r="P58" s="52">
        <f>IF(P24=1,N44,0)</f>
        <v>0</v>
      </c>
      <c r="Q58" s="48">
        <f>IF(Q24=1,Q44,0)</f>
        <v>19</v>
      </c>
      <c r="S58" s="52">
        <f>IF(S24=1,Q44,0)</f>
        <v>0</v>
      </c>
      <c r="T58" s="48">
        <f>IF(T24=1,T44,0)</f>
        <v>0</v>
      </c>
      <c r="V58" s="52">
        <f>IF(V24=1,T44,0)</f>
        <v>0</v>
      </c>
      <c r="W58" s="48">
        <f>IF(W24=1,W44,0)</f>
        <v>0</v>
      </c>
      <c r="Y58" s="52">
        <f>IF(Y24=1,W44,0)</f>
        <v>0</v>
      </c>
      <c r="Z58" s="48">
        <f>IF(Z24=1,Z44,0)</f>
        <v>0</v>
      </c>
      <c r="AB58" s="52">
        <f>IF(AB24=1,Z44,0)</f>
        <v>0</v>
      </c>
      <c r="AC58" s="48">
        <f>IF(AC24=1,AC44,0)</f>
        <v>0</v>
      </c>
      <c r="AE58" s="52">
        <f>IF(AE24=1,AC44,0)</f>
        <v>0</v>
      </c>
      <c r="AF58" s="48">
        <f>SUM(B58:AE58)</f>
        <v>52</v>
      </c>
    </row>
    <row r="59" spans="1:37" s="48" customFormat="1" ht="12.75" hidden="1" customHeight="1" x14ac:dyDescent="0.25">
      <c r="A59" s="48" t="s">
        <v>84</v>
      </c>
      <c r="B59" s="48">
        <f>IF(B24=2,B44,0)</f>
        <v>18</v>
      </c>
      <c r="D59" s="52">
        <f>IF(D24=2,B44,0)</f>
        <v>0</v>
      </c>
      <c r="E59" s="48">
        <f>IF(E24=2,E44,0)</f>
        <v>0</v>
      </c>
      <c r="G59" s="52">
        <f>IF(G24=2,E44,0)</f>
        <v>0</v>
      </c>
      <c r="H59" s="48">
        <f>IF(H24=2,H44,0)</f>
        <v>18</v>
      </c>
      <c r="J59" s="52">
        <f>IF(J24=2,H44,0)</f>
        <v>0</v>
      </c>
      <c r="K59" s="48">
        <f>IF(K24=2,K44,0)</f>
        <v>0</v>
      </c>
      <c r="M59" s="52">
        <f>IF(M24=2,K44,0)</f>
        <v>0</v>
      </c>
      <c r="N59" s="48">
        <f>IF(N24=2,N44,0)</f>
        <v>0</v>
      </c>
      <c r="P59" s="52">
        <f>IF(P24=2,N44,0)</f>
        <v>0</v>
      </c>
      <c r="Q59" s="48">
        <f>IF(Q24=2,Q44,0)</f>
        <v>0</v>
      </c>
      <c r="S59" s="52">
        <f>IF(S24=2,Q44,0)</f>
        <v>19</v>
      </c>
      <c r="T59" s="48">
        <f>IF(T24=2,T44,0)</f>
        <v>0</v>
      </c>
      <c r="V59" s="52">
        <f>IF(V24=2,T44,0)</f>
        <v>0</v>
      </c>
      <c r="W59" s="48">
        <f>IF(W24=2,W44,0)</f>
        <v>0</v>
      </c>
      <c r="Y59" s="52">
        <f>IF(Y24=2,W44,0)</f>
        <v>0</v>
      </c>
      <c r="Z59" s="48">
        <f>IF(Z24=2,Z44,0)</f>
        <v>0</v>
      </c>
      <c r="AB59" s="52">
        <f>IF(AB24=2,Z44,0)</f>
        <v>0</v>
      </c>
      <c r="AC59" s="48">
        <f>IF(AC24=2,AC44,0)</f>
        <v>0</v>
      </c>
      <c r="AE59" s="52">
        <f>IF(AE24=2,AC44,0)</f>
        <v>0</v>
      </c>
      <c r="AF59" s="48">
        <f>SUM(B59:AE59)</f>
        <v>55</v>
      </c>
    </row>
    <row r="60" spans="1:37" s="48" customFormat="1" ht="12.75" hidden="1" customHeight="1" x14ac:dyDescent="0.25">
      <c r="A60" s="48" t="s">
        <v>85</v>
      </c>
      <c r="B60" s="48">
        <f>IF(B24=3,B44,0)</f>
        <v>0</v>
      </c>
      <c r="D60" s="52">
        <f>IF(D24=3,B44,0)</f>
        <v>18</v>
      </c>
      <c r="E60" s="48">
        <f>IF(E24=3,E44,0)</f>
        <v>0</v>
      </c>
      <c r="G60" s="52">
        <f>IF(G24=3,E44,0)</f>
        <v>0</v>
      </c>
      <c r="H60" s="48">
        <f>IF(H24=3,H44,0)</f>
        <v>0</v>
      </c>
      <c r="J60" s="52">
        <f>IF(J24=3,H44,0)</f>
        <v>0</v>
      </c>
      <c r="K60" s="48">
        <f>IF(K24=3,K44,0)</f>
        <v>0</v>
      </c>
      <c r="M60" s="52">
        <f>IF(M24=3,K44,0)</f>
        <v>16</v>
      </c>
      <c r="N60" s="48">
        <f>IF(N24=3,N44,0)</f>
        <v>24</v>
      </c>
      <c r="P60" s="52">
        <f>IF(P24=3,N44,0)</f>
        <v>0</v>
      </c>
      <c r="Q60" s="48">
        <f>IF(Q24=3,Q44,0)</f>
        <v>0</v>
      </c>
      <c r="S60" s="52">
        <f>IF(S24=3,Q44,0)</f>
        <v>0</v>
      </c>
      <c r="T60" s="48">
        <f>IF(T24=3,T44,0)</f>
        <v>0</v>
      </c>
      <c r="V60" s="52">
        <f>IF(V24=3,T44,0)</f>
        <v>0</v>
      </c>
      <c r="W60" s="48">
        <f>IF(W24=3,W44,0)</f>
        <v>0</v>
      </c>
      <c r="Y60" s="52">
        <f>IF(Y24=3,W44,0)</f>
        <v>0</v>
      </c>
      <c r="Z60" s="48">
        <f>IF(Z24=3,Z44,0)</f>
        <v>0</v>
      </c>
      <c r="AB60" s="52">
        <f>IF(AB24=3,Z44,0)</f>
        <v>0</v>
      </c>
      <c r="AC60" s="48">
        <f>IF(AC24=3,AC44,0)</f>
        <v>0</v>
      </c>
      <c r="AE60" s="52">
        <f>IF(AE24=3,AC44,0)</f>
        <v>0</v>
      </c>
      <c r="AF60" s="48">
        <f>SUM(B60:AE60)</f>
        <v>58</v>
      </c>
    </row>
    <row r="61" spans="1:37" s="48" customFormat="1" ht="12.75" hidden="1" customHeight="1" x14ac:dyDescent="0.25">
      <c r="A61" s="48" t="s">
        <v>86</v>
      </c>
      <c r="B61" s="48">
        <f>IF(B24=4,B44,0)</f>
        <v>0</v>
      </c>
      <c r="D61" s="52">
        <f>IF(D24=4,B44,0)</f>
        <v>0</v>
      </c>
      <c r="E61" s="48">
        <f>IF(E24=4,E44,0)</f>
        <v>0</v>
      </c>
      <c r="G61" s="52">
        <f>IF(G24=4,E44,0)</f>
        <v>17</v>
      </c>
      <c r="H61" s="48">
        <f>IF(H24=4,H44,0)</f>
        <v>0</v>
      </c>
      <c r="J61" s="52">
        <f>IF(J24=4,H44,0)</f>
        <v>18</v>
      </c>
      <c r="K61" s="48">
        <f>IF(K24=4,K44,0)</f>
        <v>0</v>
      </c>
      <c r="M61" s="52">
        <f>IF(M24=4,K44,0)</f>
        <v>0</v>
      </c>
      <c r="N61" s="48">
        <f>IF(N24=4,N44,0)</f>
        <v>0</v>
      </c>
      <c r="P61" s="52">
        <f>IF(P24=4,N44,0)</f>
        <v>24</v>
      </c>
      <c r="Q61" s="48">
        <f>IF(Q24=4,Q44,0)</f>
        <v>0</v>
      </c>
      <c r="S61" s="52">
        <f>IF(S24=4,Q44,0)</f>
        <v>0</v>
      </c>
      <c r="T61" s="48">
        <f>IF(T24=4,T44,0)</f>
        <v>0</v>
      </c>
      <c r="V61" s="52">
        <f>IF(V24=4,T44,0)</f>
        <v>0</v>
      </c>
      <c r="W61" s="48">
        <f>IF(W24=4,W44,0)</f>
        <v>0</v>
      </c>
      <c r="Y61" s="52">
        <f>IF(Y24=4,W44,0)</f>
        <v>0</v>
      </c>
      <c r="Z61" s="48">
        <f>IF(Z24=4,Z44,0)</f>
        <v>0</v>
      </c>
      <c r="AB61" s="52">
        <f>IF(AB24=4,Z44,0)</f>
        <v>0</v>
      </c>
      <c r="AC61" s="48">
        <f>IF(AC24=4,AC44,0)</f>
        <v>0</v>
      </c>
      <c r="AE61" s="52">
        <f>IF(AE24=4,AC44,0)</f>
        <v>0</v>
      </c>
      <c r="AF61" s="48">
        <f>SUM(B61:AE61)</f>
        <v>59</v>
      </c>
    </row>
    <row r="62" spans="1:37" s="48" customFormat="1" ht="12.75" hidden="1" customHeight="1" x14ac:dyDescent="0.25">
      <c r="A62" s="48" t="s">
        <v>87</v>
      </c>
      <c r="B62" s="48">
        <f>IF(B24=5,B44,0)</f>
        <v>0</v>
      </c>
      <c r="D62" s="52">
        <f>IF(D24=5,B44,0)</f>
        <v>0</v>
      </c>
      <c r="E62" s="48">
        <f>IF(E24=5,E44,0)</f>
        <v>0</v>
      </c>
      <c r="G62" s="52">
        <f>IF(G24=5,E44,0)</f>
        <v>0</v>
      </c>
      <c r="H62" s="48">
        <f>IF(H24=5,H44,0)</f>
        <v>0</v>
      </c>
      <c r="J62" s="52">
        <f>IF(J24=5,H44,0)</f>
        <v>0</v>
      </c>
      <c r="K62" s="48">
        <f>IF(K24=5,K44,0)</f>
        <v>0</v>
      </c>
      <c r="M62" s="52">
        <f>IF(M24=5,K44,0)</f>
        <v>0</v>
      </c>
      <c r="N62" s="48">
        <f>IF(N24=5,N44,0)</f>
        <v>0</v>
      </c>
      <c r="P62" s="52">
        <f>IF(P24=5,N44,0)</f>
        <v>0</v>
      </c>
      <c r="Q62" s="48">
        <f>IF(Q24=5,Q44,0)</f>
        <v>0</v>
      </c>
      <c r="S62" s="52">
        <f>IF(S24=5,Q44,0)</f>
        <v>0</v>
      </c>
      <c r="T62" s="48">
        <f>IF(T24=5,T44,0)</f>
        <v>0</v>
      </c>
      <c r="V62" s="52">
        <f>IF(V24=5,T44,0)</f>
        <v>0</v>
      </c>
      <c r="W62" s="48">
        <f>IF(W24=5,W44,0)</f>
        <v>0</v>
      </c>
      <c r="Y62" s="52">
        <f>IF(Y24=5,W44,0)</f>
        <v>0</v>
      </c>
      <c r="Z62" s="48">
        <f>IF(Z24=5,Z44,0)</f>
        <v>0</v>
      </c>
      <c r="AB62" s="52">
        <f>IF(AB24=5,Z44,0)</f>
        <v>0</v>
      </c>
      <c r="AC62" s="48">
        <f>IF(AC24=5,AC44,0)</f>
        <v>0</v>
      </c>
      <c r="AE62" s="52">
        <f>IF(AE24=5,AC44,0)</f>
        <v>0</v>
      </c>
      <c r="AF62" s="48">
        <f>SUM(B62:AE62)</f>
        <v>0</v>
      </c>
    </row>
    <row r="63" spans="1:37" s="48" customFormat="1" ht="38.25" hidden="1" customHeight="1" x14ac:dyDescent="0.25">
      <c r="A63" s="48" t="s">
        <v>89</v>
      </c>
      <c r="D63" s="52"/>
      <c r="G63" s="52"/>
      <c r="J63" s="52"/>
      <c r="M63" s="52"/>
      <c r="P63" s="52"/>
      <c r="S63" s="52"/>
      <c r="V63" s="52"/>
      <c r="Y63" s="52"/>
      <c r="AB63" s="52"/>
      <c r="AE63" s="52"/>
      <c r="AF63" s="51" t="s">
        <v>90</v>
      </c>
      <c r="AG63" s="48" t="s">
        <v>91</v>
      </c>
    </row>
    <row r="64" spans="1:37" s="48" customFormat="1" ht="12.75" hidden="1" customHeight="1" x14ac:dyDescent="0.25">
      <c r="A64" s="48" t="s">
        <v>77</v>
      </c>
      <c r="B64" s="48">
        <f>IF(B24=1,SUMIF(B31:B35,"&gt;0"),0)</f>
        <v>0</v>
      </c>
      <c r="D64" s="52">
        <f>IF(D24=1,SUMIF(D31:D35,"&gt;0"),0)</f>
        <v>0</v>
      </c>
      <c r="E64" s="48">
        <f>IF(E24=1,SUMIF(E31:E35,"&gt;0"),0)</f>
        <v>1</v>
      </c>
      <c r="G64" s="52">
        <f>IF(G24=1,SUMIF(G31:G35,"&gt;0"),0)</f>
        <v>0</v>
      </c>
      <c r="H64" s="48">
        <f>IF(H24=1,SUMIF(H31:H35,"&gt;0"),0)</f>
        <v>0</v>
      </c>
      <c r="J64" s="52">
        <f>IF(J24=1,SUMIF(J31:J35,"&gt;0"),0)</f>
        <v>0</v>
      </c>
      <c r="K64" s="48">
        <f>IF(K24=1,SUMIF(K31:K35,"&gt;0"),0)</f>
        <v>0</v>
      </c>
      <c r="M64" s="52">
        <f>IF(M24=1,SUMIF(M31:M35,"&gt;0"),0)</f>
        <v>0</v>
      </c>
      <c r="N64" s="48">
        <f>IF(N24=1,SUMIF(N31:N35,"&gt;0"),0)</f>
        <v>0</v>
      </c>
      <c r="P64" s="52">
        <f>IF(P24=1,SUMIF(P31:P35,"&gt;0"),0)</f>
        <v>0</v>
      </c>
      <c r="Q64" s="48">
        <f>IF(Q24=1,SUMIF(Q31:Q35,"&gt;0"),0)</f>
        <v>1</v>
      </c>
      <c r="S64" s="52">
        <f>IF(S24=1,SUMIF(S31:S35,"&gt;0"),0)</f>
        <v>0</v>
      </c>
      <c r="T64" s="48">
        <f>IF(T24=1,SUMIF(T31:T35,"&gt;0"),0)</f>
        <v>0</v>
      </c>
      <c r="V64" s="52">
        <f>IF(V24=1,SUMIF(V31:V35,"&gt;0"),0)</f>
        <v>0</v>
      </c>
      <c r="W64" s="48">
        <f>IF(W24=1,SUMIF(W31:W35,"&gt;0"),0)</f>
        <v>0</v>
      </c>
      <c r="Y64" s="52">
        <f>IF(Y24=1,SUMIF(Y31:Y35,"&gt;0"),0)</f>
        <v>0</v>
      </c>
      <c r="Z64" s="48">
        <f>IF(Z24=1,SUMIF(Z31:Z35,"&gt;0"),0)</f>
        <v>0</v>
      </c>
      <c r="AB64" s="52">
        <f>IF(AB24=1,SUMIF(AB31:AB35,"&gt;0"),0)</f>
        <v>0</v>
      </c>
      <c r="AC64" s="48">
        <f>IF(AC24=1,SUMIF(AC31:AC35,"&gt;0"),0)</f>
        <v>0</v>
      </c>
      <c r="AE64" s="52">
        <f>IF(AE24=1,SUMIF(AE31:AE35,"&gt;0"),0)</f>
        <v>0</v>
      </c>
      <c r="AF64" s="48">
        <f>SUM(B64:AE64)</f>
        <v>2</v>
      </c>
      <c r="AG64" s="48">
        <f>AF72-AF64</f>
        <v>1</v>
      </c>
    </row>
    <row r="65" spans="1:49" s="48" customFormat="1" ht="12.75" hidden="1" customHeight="1" x14ac:dyDescent="0.25">
      <c r="A65" s="48" t="s">
        <v>78</v>
      </c>
      <c r="B65" s="48">
        <f>IF(B24=2,SUMIF(B31:B35,"&gt;0"),0)</f>
        <v>0</v>
      </c>
      <c r="D65" s="52">
        <f>IF(D24=2,SUMIF(D31:D35,"&gt;0"),0)</f>
        <v>0</v>
      </c>
      <c r="E65" s="48">
        <f>IF(E24=2,SUMIF(E31:E35,"&gt;0"),0)</f>
        <v>0</v>
      </c>
      <c r="G65" s="52">
        <f>IF(G24=2,SUMIF(G31:G35,"&gt;0"),0)</f>
        <v>0</v>
      </c>
      <c r="H65" s="48">
        <f>IF(H24=2,SUMIF(H31:H35,"&gt;0"),0)</f>
        <v>0</v>
      </c>
      <c r="J65" s="52">
        <f>IF(J24=2,SUMIF(J31:J35,"&gt;0"),0)</f>
        <v>0</v>
      </c>
      <c r="K65" s="48">
        <f>IF(K24=2,SUMIF(K31:K35,"&gt;0"),0)</f>
        <v>0</v>
      </c>
      <c r="M65" s="52">
        <f>IF(M24=2,SUMIF(M31:M35,"&gt;0"),0)</f>
        <v>0</v>
      </c>
      <c r="N65" s="48">
        <f>IF(N24=2,SUMIF(N31:N35,"&gt;0"),0)</f>
        <v>0</v>
      </c>
      <c r="P65" s="52">
        <f>IF(P24=2,SUMIF(P31:P35,"&gt;0"),0)</f>
        <v>0</v>
      </c>
      <c r="Q65" s="48">
        <f>IF(Q24=2,SUMIF(Q31:Q35,"&gt;0"),0)</f>
        <v>0</v>
      </c>
      <c r="S65" s="52">
        <f>IF(S24=2,SUMIF(S31:S35,"&gt;0"),0)</f>
        <v>0</v>
      </c>
      <c r="T65" s="48">
        <f>IF(T24=2,SUMIF(T31:T35,"&gt;0"),0)</f>
        <v>0</v>
      </c>
      <c r="V65" s="52">
        <f>IF(V24=2,SUMIF(V31:V35,"&gt;0"),0)</f>
        <v>0</v>
      </c>
      <c r="W65" s="48">
        <f>IF(W24=2,SUMIF(W31:W35,"&gt;0"),0)</f>
        <v>0</v>
      </c>
      <c r="Y65" s="52">
        <f>IF(Y24=2,SUMIF(Y31:Y35,"&gt;0"),0)</f>
        <v>0</v>
      </c>
      <c r="Z65" s="48">
        <f>IF(Z24=2,SUMIF(Z31:Z35,"&gt;0"),0)</f>
        <v>0</v>
      </c>
      <c r="AB65" s="52">
        <f>IF(AB24=2,SUMIF(AB31:AB35,"&gt;0"),0)</f>
        <v>0</v>
      </c>
      <c r="AC65" s="48">
        <f>IF(AC24=2,SUMIF(AC31:AC35,"&gt;0"),0)</f>
        <v>0</v>
      </c>
      <c r="AE65" s="52">
        <f>IF(AE24=2,SUMIF(AE31:AE35,"&gt;0"),0)</f>
        <v>0</v>
      </c>
      <c r="AF65" s="48">
        <f>SUM(B65:AE65)</f>
        <v>0</v>
      </c>
      <c r="AG65" s="48">
        <f>AF73-AF65</f>
        <v>3</v>
      </c>
    </row>
    <row r="66" spans="1:49" s="48" customFormat="1" ht="12.75" hidden="1" customHeight="1" x14ac:dyDescent="0.25">
      <c r="A66" s="48" t="s">
        <v>79</v>
      </c>
      <c r="B66" s="48">
        <f>IF(B24=3,SUMIF(B31:B35,"&gt;0"),0)</f>
        <v>0</v>
      </c>
      <c r="D66" s="52">
        <f>IF(D24=3,SUMIF(D31:D35,"&gt;0"),0)</f>
        <v>1</v>
      </c>
      <c r="E66" s="48">
        <f>IF(E24=3,SUMIF(E31:E35,"&gt;0"),0)</f>
        <v>0</v>
      </c>
      <c r="G66" s="52">
        <f>IF(G24=3,SUMIF(G31:G35,"&gt;0"),0)</f>
        <v>0</v>
      </c>
      <c r="H66" s="48">
        <f>IF(H24=3,SUMIF(H31:H35,"&gt;0"),0)</f>
        <v>0</v>
      </c>
      <c r="J66" s="52">
        <f>IF(J24=3,SUMIF(J31:J35,"&gt;0"),0)</f>
        <v>0</v>
      </c>
      <c r="K66" s="48">
        <f>IF(K24=3,SUMIF(K31:K35,"&gt;0"),0)</f>
        <v>0</v>
      </c>
      <c r="M66" s="52">
        <f>IF(M24=3,SUMIF(M31:M35,"&gt;0"),0)</f>
        <v>1</v>
      </c>
      <c r="N66" s="48">
        <f>IF(N24=3,SUMIF(N31:N35,"&gt;0"),0)</f>
        <v>0</v>
      </c>
      <c r="P66" s="52">
        <f>IF(P24=3,SUMIF(P31:P35,"&gt;0"),0)</f>
        <v>0</v>
      </c>
      <c r="Q66" s="48">
        <f>IF(Q24=3,SUMIF(Q31:Q35,"&gt;0"),0)</f>
        <v>0</v>
      </c>
      <c r="S66" s="52">
        <f>IF(S24=3,SUMIF(S31:S35,"&gt;0"),0)</f>
        <v>0</v>
      </c>
      <c r="T66" s="48">
        <f>IF(T24=3,SUMIF(T31:T35,"&gt;0"),0)</f>
        <v>0</v>
      </c>
      <c r="V66" s="52">
        <f>IF(V24=3,SUMIF(V31:V35,"&gt;0"),0)</f>
        <v>0</v>
      </c>
      <c r="W66" s="48">
        <f>IF(W24=3,SUMIF(W31:W35,"&gt;0"),0)</f>
        <v>0</v>
      </c>
      <c r="Y66" s="52">
        <f>IF(Y24=3,SUMIF(Y31:Y35,"&gt;0"),0)</f>
        <v>0</v>
      </c>
      <c r="Z66" s="48">
        <f>IF(Z24=3,SUMIF(Z31:Z35,"&gt;0"),0)</f>
        <v>0</v>
      </c>
      <c r="AB66" s="52">
        <f>IF(AB24=3,SUMIF(AB31:AB35,"&gt;0"),0)</f>
        <v>0</v>
      </c>
      <c r="AC66" s="48">
        <f>IF(AC24=3,SUMIF(AC31:AC35,"&gt;0"),0)</f>
        <v>0</v>
      </c>
      <c r="AE66" s="52">
        <f>IF(AE24=3,SUMIF(AE31:AE35,"&gt;0"),0)</f>
        <v>0</v>
      </c>
      <c r="AF66" s="48">
        <f>SUM(B66:AE66)</f>
        <v>2</v>
      </c>
      <c r="AG66" s="48">
        <f>AF74-AF66</f>
        <v>1</v>
      </c>
    </row>
    <row r="67" spans="1:49" s="48" customFormat="1" ht="12.75" hidden="1" customHeight="1" x14ac:dyDescent="0.25">
      <c r="A67" s="48" t="s">
        <v>80</v>
      </c>
      <c r="B67" s="48">
        <f>IF(B24=4,SUMIF(B31:B35,"&gt;0"),0)</f>
        <v>0</v>
      </c>
      <c r="D67" s="52">
        <f>IF(D24=4,SUMIF(D31:D35,"&gt;0"),0)</f>
        <v>0</v>
      </c>
      <c r="E67" s="48">
        <f>IF(E24=4,SUMIF(E31:E35,"&gt;0"),0)</f>
        <v>0</v>
      </c>
      <c r="G67" s="52">
        <f>IF(G24=4,SUMIF(G31:G35,"&gt;0"),0)</f>
        <v>0</v>
      </c>
      <c r="H67" s="48">
        <f>IF(H24=4,SUMIF(H31:H35,"&gt;0"),0)</f>
        <v>0</v>
      </c>
      <c r="J67" s="52">
        <f>IF(J24=4,SUMIF(J31:J35,"&gt;0"),0)</f>
        <v>1</v>
      </c>
      <c r="K67" s="48">
        <f>IF(K24=4,SUMIF(K31:K35,"&gt;0"),0)</f>
        <v>0</v>
      </c>
      <c r="M67" s="52">
        <f>IF(M24=4,SUMIF(M31:M35,"&gt;0"),0)</f>
        <v>0</v>
      </c>
      <c r="N67" s="48">
        <f>IF(N24=4,SUMIF(N31:N35,"&gt;0"),0)</f>
        <v>0</v>
      </c>
      <c r="P67" s="52">
        <f>IF(P24=4,SUMIF(P31:P35,"&gt;0"),0)</f>
        <v>1</v>
      </c>
      <c r="Q67" s="48">
        <f>IF(Q24=4,SUMIF(Q31:Q35,"&gt;0"),0)</f>
        <v>0</v>
      </c>
      <c r="S67" s="52">
        <f>IF(S24=4,SUMIF(S31:S35,"&gt;0"),0)</f>
        <v>0</v>
      </c>
      <c r="T67" s="48">
        <f>IF(T24=4,SUMIF(T31:T35,"&gt;0"),0)</f>
        <v>0</v>
      </c>
      <c r="V67" s="52">
        <f>IF(V24=4,SUMIF(V31:V35,"&gt;0"),0)</f>
        <v>0</v>
      </c>
      <c r="W67" s="48">
        <f>IF(W24=4,SUMIF(W31:W35,"&gt;0"),0)</f>
        <v>0</v>
      </c>
      <c r="Y67" s="52">
        <f>IF(Y24=4,SUMIF(Y31:Y35,"&gt;0"),0)</f>
        <v>0</v>
      </c>
      <c r="Z67" s="48">
        <f>IF(Z24=4,SUMIF(Z31:Z35,"&gt;0"),0)</f>
        <v>0</v>
      </c>
      <c r="AB67" s="52">
        <f>IF(AB24=4,SUMIF(AB31:AB35,"&gt;0"),0)</f>
        <v>0</v>
      </c>
      <c r="AC67" s="48">
        <f>IF(AC24=4,SUMIF(AC31:AC35,"&gt;0"),0)</f>
        <v>0</v>
      </c>
      <c r="AE67" s="52">
        <f>IF(AE24=4,SUMIF(AE31:AE35,"&gt;0"),0)</f>
        <v>0</v>
      </c>
      <c r="AF67" s="48">
        <f>SUM(B67:AE67)</f>
        <v>2</v>
      </c>
      <c r="AG67" s="48">
        <f>AF75-AF67</f>
        <v>1</v>
      </c>
    </row>
    <row r="68" spans="1:49" s="48" customFormat="1" ht="12.75" hidden="1" customHeight="1" x14ac:dyDescent="0.25">
      <c r="A68" s="48" t="s">
        <v>81</v>
      </c>
      <c r="B68" s="48">
        <f>IF(B24=5,SUMIF(B31:B35,"&gt;0"),0)</f>
        <v>0</v>
      </c>
      <c r="D68" s="52">
        <f>IF(D24=5,SUMIF(D31:D35,"&gt;0"),0)</f>
        <v>0</v>
      </c>
      <c r="E68" s="48">
        <f>IF(E24=5,SUMIF(E31:E35,"&gt;0"),0)</f>
        <v>0</v>
      </c>
      <c r="G68" s="52">
        <f>IF(G24=5,SUMIF(G31:G35,"&gt;0"),0)</f>
        <v>0</v>
      </c>
      <c r="H68" s="48">
        <f>IF(H24=5,SUMIF(H31:H35,"&gt;0"),0)</f>
        <v>0</v>
      </c>
      <c r="J68" s="52">
        <f>IF(J24=5,SUMIF(J31:J35,"&gt;0"),0)</f>
        <v>0</v>
      </c>
      <c r="K68" s="48">
        <f>IF(K24=5,SUMIF(K31:K35,"&gt;0"),0)</f>
        <v>0</v>
      </c>
      <c r="M68" s="52">
        <f>IF(M24=5,SUMIF(M31:M35,"&gt;0"),0)</f>
        <v>0</v>
      </c>
      <c r="N68" s="48">
        <f>IF(N24=5,SUMIF(N31:N35,"&gt;0"),0)</f>
        <v>0</v>
      </c>
      <c r="P68" s="52">
        <f>IF(P24=5,SUMIF(P31:P35,"&gt;0"),0)</f>
        <v>0</v>
      </c>
      <c r="Q68" s="48">
        <f>IF(Q24=5,SUMIF(Q31:Q35,"&gt;0"),0)</f>
        <v>0</v>
      </c>
      <c r="S68" s="52">
        <f>IF(S24=5,SUMIF(S31:S35,"&gt;0"),0)</f>
        <v>0</v>
      </c>
      <c r="T68" s="48">
        <f>IF(T24=5,SUMIF(T31:T35,"&gt;0"),0)</f>
        <v>0</v>
      </c>
      <c r="V68" s="52">
        <f>IF(V24=5,SUMIF(V31:V35,"&gt;0"),0)</f>
        <v>0</v>
      </c>
      <c r="W68" s="48">
        <f>IF(W24=5,SUMIF(W31:W35,"&gt;0"),0)</f>
        <v>0</v>
      </c>
      <c r="Y68" s="52">
        <f>IF(Y24=5,SUMIF(Y31:Y35,"&gt;0"),0)</f>
        <v>0</v>
      </c>
      <c r="Z68" s="48">
        <f>IF(Z24=5,SUMIF(Z31:Z35,"&gt;0"),0)</f>
        <v>0</v>
      </c>
      <c r="AB68" s="52">
        <f>IF(AB24=5,SUMIF(AB31:AB35,"&gt;0"),0)</f>
        <v>0</v>
      </c>
      <c r="AC68" s="48">
        <f>IF(AC24=5,SUMIF(AC31:AC35,"&gt;0"),0)</f>
        <v>0</v>
      </c>
      <c r="AE68" s="52">
        <f>IF(AE24=5,SUMIF(AE31:AE35,"&gt;0"),0)</f>
        <v>0</v>
      </c>
      <c r="AF68" s="48">
        <f>SUM(B68:AE68)</f>
        <v>0</v>
      </c>
      <c r="AG68" s="48">
        <f>AF76-AF68</f>
        <v>0</v>
      </c>
    </row>
    <row r="69" spans="1:49" s="48" customFormat="1" ht="12.75" hidden="1" customHeight="1" x14ac:dyDescent="0.25">
      <c r="D69" s="52"/>
      <c r="G69" s="52"/>
      <c r="J69" s="52"/>
      <c r="M69" s="52"/>
      <c r="P69" s="52"/>
      <c r="S69" s="52"/>
      <c r="V69" s="52"/>
      <c r="Y69" s="52"/>
      <c r="AB69" s="52"/>
      <c r="AE69" s="52"/>
    </row>
    <row r="70" spans="1:49" s="48" customFormat="1" ht="12.75" hidden="1" customHeight="1" x14ac:dyDescent="0.25">
      <c r="D70" s="52"/>
      <c r="G70" s="52"/>
      <c r="J70" s="52"/>
      <c r="M70" s="52"/>
      <c r="P70" s="52"/>
      <c r="S70" s="52"/>
      <c r="V70" s="52"/>
      <c r="Y70" s="52"/>
      <c r="AB70" s="52"/>
      <c r="AE70" s="52"/>
    </row>
    <row r="71" spans="1:49" s="48" customFormat="1" ht="51" hidden="1" customHeight="1" x14ac:dyDescent="0.25">
      <c r="A71" s="51" t="s">
        <v>92</v>
      </c>
      <c r="C71" s="48">
        <f>SUMIF(B64:D68,"&gt;0")</f>
        <v>1</v>
      </c>
      <c r="D71" s="52"/>
      <c r="F71" s="48">
        <f>SUMIF(E64:G68,"&gt;0")</f>
        <v>1</v>
      </c>
      <c r="G71" s="52"/>
      <c r="I71" s="48">
        <f>SUMIF(H64:J68,"&gt;0")</f>
        <v>1</v>
      </c>
      <c r="J71" s="52"/>
      <c r="L71" s="48">
        <f>SUMIF(K64:M68,"&gt;0")</f>
        <v>1</v>
      </c>
      <c r="M71" s="52"/>
      <c r="O71" s="48">
        <f>SUMIF(N64:P68,"&gt;0")</f>
        <v>1</v>
      </c>
      <c r="P71" s="52"/>
      <c r="R71" s="48">
        <f>SUMIF(Q64:S68,"&gt;0")</f>
        <v>1</v>
      </c>
      <c r="S71" s="52"/>
      <c r="U71" s="48">
        <f>SUMIF(T64:V68,"&gt;0")</f>
        <v>0</v>
      </c>
      <c r="V71" s="52"/>
      <c r="X71" s="48">
        <f>SUMIF(W64:Y68,"&gt;0")</f>
        <v>0</v>
      </c>
      <c r="Y71" s="52"/>
      <c r="AA71" s="48">
        <f>SUMIF(Z64:AB68,"&gt;0")</f>
        <v>0</v>
      </c>
      <c r="AB71" s="52"/>
      <c r="AD71" s="48">
        <f>SUMIF(AC64:AE68,"&gt;0")</f>
        <v>0</v>
      </c>
      <c r="AE71" s="52"/>
      <c r="AF71" s="51" t="s">
        <v>93</v>
      </c>
    </row>
    <row r="72" spans="1:49" s="48" customFormat="1" ht="12.75" hidden="1" customHeight="1" x14ac:dyDescent="0.25">
      <c r="A72" s="48" t="s">
        <v>83</v>
      </c>
      <c r="B72" s="48">
        <f>IF(B24=1,C71,0)</f>
        <v>0</v>
      </c>
      <c r="D72" s="52">
        <f>IF(D24=1,C71,0)</f>
        <v>0</v>
      </c>
      <c r="E72" s="48">
        <f>IF(E24=1,F71,0)</f>
        <v>1</v>
      </c>
      <c r="G72" s="52">
        <f>IF(G24=1,F71,0)</f>
        <v>0</v>
      </c>
      <c r="H72" s="48">
        <f>IF(H24=1,I71,0)</f>
        <v>0</v>
      </c>
      <c r="J72" s="52">
        <f>IF(J24=1,I71,0)</f>
        <v>0</v>
      </c>
      <c r="K72" s="48">
        <f>IF(K24=1,L71,0)</f>
        <v>1</v>
      </c>
      <c r="M72" s="52">
        <f>IF(M24=1,L71,0)</f>
        <v>0</v>
      </c>
      <c r="N72" s="48">
        <f>IF(N24=1,O71,0)</f>
        <v>0</v>
      </c>
      <c r="P72" s="52">
        <f>IF(P24=1,O71,0)</f>
        <v>0</v>
      </c>
      <c r="Q72" s="48">
        <f>IF(Q24=1,R71,0)</f>
        <v>1</v>
      </c>
      <c r="S72" s="52">
        <f>IF(S24=1,R71,0)</f>
        <v>0</v>
      </c>
      <c r="T72" s="48">
        <f>IF(T24=1,U71,0)</f>
        <v>0</v>
      </c>
      <c r="V72" s="52">
        <f>IF(V24=1,U71,0)</f>
        <v>0</v>
      </c>
      <c r="W72" s="48">
        <f>IF(W24=1,X71,0)</f>
        <v>0</v>
      </c>
      <c r="Y72" s="52">
        <f>IF(Y24=1,X71,0)</f>
        <v>0</v>
      </c>
      <c r="Z72" s="48">
        <f>IF(Z24=1,AA71,0)</f>
        <v>0</v>
      </c>
      <c r="AB72" s="52">
        <f>IF(AB24=1,AA71,0)</f>
        <v>0</v>
      </c>
      <c r="AC72" s="48">
        <f>IF(AC24=1,AD71,0)</f>
        <v>0</v>
      </c>
      <c r="AE72" s="52">
        <f>IF(AE24=1,AD71,0)</f>
        <v>0</v>
      </c>
      <c r="AF72" s="48">
        <f>SUM(B72:AE72)</f>
        <v>3</v>
      </c>
    </row>
    <row r="73" spans="1:49" s="48" customFormat="1" ht="12.75" hidden="1" customHeight="1" x14ac:dyDescent="0.25">
      <c r="A73" s="48" t="s">
        <v>84</v>
      </c>
      <c r="B73" s="48">
        <f>IF(B24=2,C71,0)</f>
        <v>1</v>
      </c>
      <c r="D73" s="52">
        <f>IF(D24=2,C71,0)</f>
        <v>0</v>
      </c>
      <c r="E73" s="48">
        <f>IF(E24=2,F71,0)</f>
        <v>0</v>
      </c>
      <c r="G73" s="52">
        <f>IF(G24=2,F71,0)</f>
        <v>0</v>
      </c>
      <c r="H73" s="48">
        <f>IF(H24=2,I71,0)</f>
        <v>1</v>
      </c>
      <c r="J73" s="52">
        <f>IF(J24=2,I71,0)</f>
        <v>0</v>
      </c>
      <c r="K73" s="48">
        <f>IF(K24=2,L71,0)</f>
        <v>0</v>
      </c>
      <c r="M73" s="52">
        <f>IF(M24=2,L71,0)</f>
        <v>0</v>
      </c>
      <c r="N73" s="48">
        <f>IF(N24=2,O71,0)</f>
        <v>0</v>
      </c>
      <c r="P73" s="52">
        <f>IF(P24=2,O71,0)</f>
        <v>0</v>
      </c>
      <c r="Q73" s="48">
        <f>IF(Q24=2,R71,0)</f>
        <v>0</v>
      </c>
      <c r="S73" s="52">
        <f>IF(S24=2,R71,0)</f>
        <v>1</v>
      </c>
      <c r="T73" s="48">
        <f>IF(T24=2,U71,0)</f>
        <v>0</v>
      </c>
      <c r="V73" s="52">
        <f>IF(V24=2,U71,0)</f>
        <v>0</v>
      </c>
      <c r="W73" s="48">
        <f>IF(W24=2,X71,0)</f>
        <v>0</v>
      </c>
      <c r="Y73" s="52">
        <f>IF(Y24=2,X71,0)</f>
        <v>0</v>
      </c>
      <c r="Z73" s="48">
        <f>IF(Z24=2,AA71,0)</f>
        <v>0</v>
      </c>
      <c r="AB73" s="52">
        <f>IF(AB24=2,AA71,0)</f>
        <v>0</v>
      </c>
      <c r="AC73" s="48">
        <f>IF(AC24=2,AD71,0)</f>
        <v>0</v>
      </c>
      <c r="AE73" s="52">
        <f>IF(AE24=2,AD71,0)</f>
        <v>0</v>
      </c>
      <c r="AF73" s="48">
        <f>SUM(B73:AE73)</f>
        <v>3</v>
      </c>
    </row>
    <row r="74" spans="1:49" s="48" customFormat="1" ht="12.75" hidden="1" customHeight="1" x14ac:dyDescent="0.25">
      <c r="A74" s="48" t="s">
        <v>85</v>
      </c>
      <c r="B74" s="48">
        <f>IF(B24=3,C71,0)</f>
        <v>0</v>
      </c>
      <c r="D74" s="52">
        <f>IF(D24=3,C71,0)</f>
        <v>1</v>
      </c>
      <c r="E74" s="48">
        <f>IF(E24=3,F71,0)</f>
        <v>0</v>
      </c>
      <c r="G74" s="52">
        <f>IF(G24=3,F71,0)</f>
        <v>0</v>
      </c>
      <c r="H74" s="48">
        <f>IF(H24=3,I71,0)</f>
        <v>0</v>
      </c>
      <c r="J74" s="52">
        <f>IF(J24=3,I71,0)</f>
        <v>0</v>
      </c>
      <c r="K74" s="48">
        <f>IF(K24=3,L71,0)</f>
        <v>0</v>
      </c>
      <c r="M74" s="52">
        <f>IF(M24=3,L71,0)</f>
        <v>1</v>
      </c>
      <c r="N74" s="48">
        <f>IF(N24=3,O71,0)</f>
        <v>1</v>
      </c>
      <c r="P74" s="52">
        <f>IF(P24=3,O71,0)</f>
        <v>0</v>
      </c>
      <c r="Q74" s="48">
        <f>IF(Q24=3,R71,0)</f>
        <v>0</v>
      </c>
      <c r="S74" s="52">
        <f>IF(S24=3,R71,0)</f>
        <v>0</v>
      </c>
      <c r="T74" s="48">
        <f>IF(T24=3,U71,0)</f>
        <v>0</v>
      </c>
      <c r="V74" s="52">
        <f>IF(V24=3,U71,0)</f>
        <v>0</v>
      </c>
      <c r="W74" s="48">
        <f>IF(W24=3,X71,0)</f>
        <v>0</v>
      </c>
      <c r="Y74" s="52">
        <f>IF(Y24=3,X71,0)</f>
        <v>0</v>
      </c>
      <c r="Z74" s="48">
        <f>IF(Z24=3,AA71,0)</f>
        <v>0</v>
      </c>
      <c r="AB74" s="52">
        <f>IF(AB24=3,AA71,0)</f>
        <v>0</v>
      </c>
      <c r="AC74" s="48">
        <f>IF(AC24=3,AD71,0)</f>
        <v>0</v>
      </c>
      <c r="AE74" s="52">
        <f>IF(AE24=3,AD71,0)</f>
        <v>0</v>
      </c>
      <c r="AF74" s="48">
        <f>SUM(B74:AE74)</f>
        <v>3</v>
      </c>
    </row>
    <row r="75" spans="1:49" s="48" customFormat="1" ht="12.75" hidden="1" customHeight="1" x14ac:dyDescent="0.25">
      <c r="A75" s="48" t="s">
        <v>86</v>
      </c>
      <c r="B75" s="48">
        <f>IF(B24=4,C71,0)</f>
        <v>0</v>
      </c>
      <c r="D75" s="52">
        <f>IF(D24=4,C71,0)</f>
        <v>0</v>
      </c>
      <c r="E75" s="48">
        <f>IF(E24=4,F71,0)</f>
        <v>0</v>
      </c>
      <c r="G75" s="52">
        <f>IF(G24=4,F71,0)</f>
        <v>1</v>
      </c>
      <c r="H75" s="48">
        <f>IF(H24=4,I71,0)</f>
        <v>0</v>
      </c>
      <c r="J75" s="52">
        <f>IF(J24=4,I71,0)</f>
        <v>1</v>
      </c>
      <c r="K75" s="48">
        <f>IF(K24=4,L71,0)</f>
        <v>0</v>
      </c>
      <c r="M75" s="52">
        <f>IF(M24=4,L71,0)</f>
        <v>0</v>
      </c>
      <c r="N75" s="48">
        <f>IF(N24=4,O71,0)</f>
        <v>0</v>
      </c>
      <c r="P75" s="52">
        <f>IF(P24=4,O71,0)</f>
        <v>1</v>
      </c>
      <c r="Q75" s="48">
        <f>IF(Q24=4,R71,0)</f>
        <v>0</v>
      </c>
      <c r="S75" s="52">
        <f>IF(S24=4,R71,0)</f>
        <v>0</v>
      </c>
      <c r="T75" s="48">
        <f>IF(T24=4,U71,0)</f>
        <v>0</v>
      </c>
      <c r="V75" s="52">
        <f>IF(V24=4,U71,0)</f>
        <v>0</v>
      </c>
      <c r="W75" s="48">
        <f>IF(W24=4,X71,0)</f>
        <v>0</v>
      </c>
      <c r="Y75" s="52">
        <f>IF(Y24=4,X71,0)</f>
        <v>0</v>
      </c>
      <c r="Z75" s="48">
        <f>IF(Z24=4,AA71,0)</f>
        <v>0</v>
      </c>
      <c r="AB75" s="52">
        <f>IF(AB24=4,AA71,0)</f>
        <v>0</v>
      </c>
      <c r="AC75" s="48">
        <f>IF(AC24=4,AD71,0)</f>
        <v>0</v>
      </c>
      <c r="AE75" s="52">
        <f>IF(AE24=4,AD71,0)</f>
        <v>0</v>
      </c>
      <c r="AF75" s="48">
        <f>SUM(B75:AE75)</f>
        <v>3</v>
      </c>
    </row>
    <row r="76" spans="1:49" s="48" customFormat="1" ht="12.75" hidden="1" customHeight="1" x14ac:dyDescent="0.25">
      <c r="A76" s="48" t="s">
        <v>87</v>
      </c>
      <c r="B76" s="48">
        <f>IF(B24=5,C71,0)</f>
        <v>0</v>
      </c>
      <c r="D76" s="52">
        <f>IF(D24=5,C71,0)</f>
        <v>0</v>
      </c>
      <c r="E76" s="48">
        <f>IF(E24=5,F71,0)</f>
        <v>0</v>
      </c>
      <c r="G76" s="52">
        <f>IF(G24=5,F71,0)</f>
        <v>0</v>
      </c>
      <c r="H76" s="48">
        <f>IF(H24=5,I71,0)</f>
        <v>0</v>
      </c>
      <c r="J76" s="52">
        <f>IF(J24=5,I71,0)</f>
        <v>0</v>
      </c>
      <c r="K76" s="48">
        <f>IF(K24=5,L71,0)</f>
        <v>0</v>
      </c>
      <c r="M76" s="52">
        <f>IF(M24=5,L71,0)</f>
        <v>0</v>
      </c>
      <c r="N76" s="48">
        <f>IF(N24=5,O71,0)</f>
        <v>0</v>
      </c>
      <c r="P76" s="52">
        <f>IF(P24=5,O71,0)</f>
        <v>0</v>
      </c>
      <c r="Q76" s="48">
        <f>IF(Q24=5,R71,0)</f>
        <v>0</v>
      </c>
      <c r="S76" s="52">
        <f>IF(S24=5,R71,0)</f>
        <v>0</v>
      </c>
      <c r="T76" s="48">
        <f>IF(T24=5,U71,0)</f>
        <v>0</v>
      </c>
      <c r="V76" s="52">
        <f>IF(V24=5,U71,0)</f>
        <v>0</v>
      </c>
      <c r="W76" s="48">
        <f>IF(W24=5,X71,0)</f>
        <v>0</v>
      </c>
      <c r="Y76" s="52">
        <f>IF(Y24=5,X71,0)</f>
        <v>0</v>
      </c>
      <c r="Z76" s="48">
        <f>IF(Z24=5,AA71,0)</f>
        <v>0</v>
      </c>
      <c r="AB76" s="52">
        <f>IF(AB24=5,AA71,0)</f>
        <v>0</v>
      </c>
      <c r="AC76" s="48">
        <f>IF(AC24=5,AD71,0)</f>
        <v>0</v>
      </c>
      <c r="AE76" s="52">
        <f>IF(AE24=5,AD71,0)</f>
        <v>0</v>
      </c>
      <c r="AF76" s="48">
        <f>SUM(B76:AE76)</f>
        <v>0</v>
      </c>
    </row>
    <row r="77" spans="1:49" hidden="1" x14ac:dyDescent="0.2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4"/>
      <c r="AO77" s="54"/>
      <c r="AP77" s="54"/>
      <c r="AQ77" s="54"/>
      <c r="AR77" s="55"/>
      <c r="AS77" s="55"/>
      <c r="AT77" s="56"/>
    </row>
    <row r="78" spans="1:49" s="55" customFormat="1" hidden="1" x14ac:dyDescent="0.25">
      <c r="A78" s="57"/>
      <c r="B78" s="57"/>
      <c r="C78" s="57" t="s">
        <v>94</v>
      </c>
      <c r="D78" s="57">
        <v>1</v>
      </c>
      <c r="E78" s="57"/>
      <c r="F78" s="57"/>
      <c r="G78" s="57">
        <v>2</v>
      </c>
      <c r="H78" s="57"/>
      <c r="I78" s="57"/>
      <c r="J78" s="57">
        <v>3</v>
      </c>
      <c r="K78" s="57"/>
      <c r="L78" s="57"/>
      <c r="M78" s="57">
        <v>4</v>
      </c>
      <c r="N78" s="57"/>
      <c r="O78" s="57"/>
      <c r="P78" s="57">
        <v>5</v>
      </c>
      <c r="Q78" s="57"/>
      <c r="R78" s="57"/>
      <c r="S78" s="57">
        <v>6</v>
      </c>
      <c r="T78" s="57"/>
      <c r="U78" s="57"/>
      <c r="V78" s="57">
        <v>7</v>
      </c>
      <c r="W78" s="57"/>
      <c r="X78" s="57"/>
      <c r="Y78" s="57">
        <v>8</v>
      </c>
      <c r="Z78" s="57"/>
      <c r="AA78" s="57"/>
      <c r="AB78" s="57">
        <v>9</v>
      </c>
      <c r="AC78" s="57"/>
      <c r="AD78" s="57"/>
      <c r="AE78" s="57">
        <v>10</v>
      </c>
      <c r="AF78" s="4"/>
      <c r="AG78" s="57"/>
      <c r="AI78" s="58"/>
      <c r="AJ78" s="4"/>
      <c r="AK78" s="4"/>
      <c r="AL78" s="4"/>
      <c r="AM78" s="4"/>
      <c r="AN78" s="4"/>
      <c r="AO78" s="4"/>
      <c r="AT78" s="58" t="s">
        <v>95</v>
      </c>
      <c r="AW78" s="59"/>
    </row>
    <row r="79" spans="1:49" s="55" customFormat="1" hidden="1" x14ac:dyDescent="0.25">
      <c r="A79" s="60">
        <v>1</v>
      </c>
      <c r="B79" s="60" t="str">
        <f>E8</f>
        <v>Excell Palmetto State 12</v>
      </c>
      <c r="C79" s="60">
        <f>VLOOKUP(B79,AU$3:AW$33,3,FALSE)</f>
        <v>1246.5304984710244</v>
      </c>
      <c r="D79" s="60">
        <f>IF(B72,B87,IF(D72,D87,C79))</f>
        <v>1246.5304984710244</v>
      </c>
      <c r="E79" s="60"/>
      <c r="F79" s="60"/>
      <c r="G79" s="60">
        <f>IF(E72,E87,IF(G72,G87,D79))</f>
        <v>1253.7957477065368</v>
      </c>
      <c r="H79" s="60"/>
      <c r="I79" s="60"/>
      <c r="J79" s="60">
        <f>IF(H72,H87,IF(J72,J87,G79))</f>
        <v>1253.7957477065368</v>
      </c>
      <c r="K79" s="60"/>
      <c r="L79" s="60"/>
      <c r="M79" s="60">
        <f>IF(K72,K87,IF(M72,M87,J79))</f>
        <v>1248.6498755426492</v>
      </c>
      <c r="N79" s="60"/>
      <c r="O79" s="60"/>
      <c r="P79" s="60">
        <f>IF(N72,N87,IF(P72,P87,M79))</f>
        <v>1248.6498755426492</v>
      </c>
      <c r="Q79" s="60"/>
      <c r="R79" s="60"/>
      <c r="S79" s="60">
        <f>IF(Q72,Q87,IF(S72,S87,P79))</f>
        <v>1254.9815924153156</v>
      </c>
      <c r="T79" s="60"/>
      <c r="U79" s="60"/>
      <c r="V79" s="60">
        <f>IF(T72,T87,IF(V72,V87,S79))</f>
        <v>1254.9815924153156</v>
      </c>
      <c r="W79" s="60"/>
      <c r="X79" s="60"/>
      <c r="Y79" s="60">
        <f>IF(W72,W87,IF(Y72,Y87,V79))</f>
        <v>1254.9815924153156</v>
      </c>
      <c r="Z79" s="60"/>
      <c r="AA79" s="60"/>
      <c r="AB79" s="60">
        <f>IF(Z72,Z87,IF(AB72,AB87,Y79))</f>
        <v>1254.9815924153156</v>
      </c>
      <c r="AC79" s="60"/>
      <c r="AD79" s="60"/>
      <c r="AE79" s="60">
        <f>IF(AC72,AC87,IF(AE72,AE87,AB79))</f>
        <v>1254.9815924153156</v>
      </c>
      <c r="AF79" s="4"/>
      <c r="AG79" s="4"/>
      <c r="AJ79" s="4"/>
      <c r="AK79" s="4"/>
      <c r="AL79" s="4"/>
      <c r="AM79" s="4"/>
      <c r="AN79" s="4"/>
      <c r="AO79" s="4"/>
      <c r="AT79" s="55" t="str">
        <f>B79</f>
        <v>Excell Palmetto State 12</v>
      </c>
      <c r="AU79" s="55">
        <f>AE79</f>
        <v>1254.9815924153156</v>
      </c>
      <c r="AW79" s="59"/>
    </row>
    <row r="80" spans="1:49" s="55" customFormat="1" hidden="1" x14ac:dyDescent="0.25">
      <c r="A80" s="60">
        <v>2</v>
      </c>
      <c r="B80" s="60" t="str">
        <f>E10</f>
        <v>Foothills 12 Kim</v>
      </c>
      <c r="C80" s="60">
        <f>VLOOKUP(B80,AU$3:AW$33,3,FALSE)</f>
        <v>1186.5140380302898</v>
      </c>
      <c r="D80" s="60">
        <f>IF(B73,B87,IF(D73,D87,C80))</f>
        <v>1182.5506086227699</v>
      </c>
      <c r="E80" s="60"/>
      <c r="F80" s="60"/>
      <c r="G80" s="60">
        <f>IF(E73,E87,IF(G73,G87,D80))</f>
        <v>1182.5506086227699</v>
      </c>
      <c r="H80" s="60"/>
      <c r="I80" s="60"/>
      <c r="J80" s="60">
        <f>IF(H73,H87,IF(J73,J87,G80))</f>
        <v>1175.1187263302763</v>
      </c>
      <c r="K80" s="60"/>
      <c r="L80" s="60"/>
      <c r="M80" s="60">
        <f>IF(K73,K87,IF(M73,M87,J80))</f>
        <v>1175.1187263302763</v>
      </c>
      <c r="N80" s="60"/>
      <c r="O80" s="60"/>
      <c r="P80" s="60">
        <f>IF(N73,N87,IF(P73,P87,M80))</f>
        <v>1175.1187263302763</v>
      </c>
      <c r="Q80" s="60"/>
      <c r="R80" s="60"/>
      <c r="S80" s="60">
        <f>IF(Q73,Q87,IF(S73,S87,P80))</f>
        <v>1168.7870094576099</v>
      </c>
      <c r="T80" s="60"/>
      <c r="U80" s="60"/>
      <c r="V80" s="60">
        <f>IF(T73,T87,IF(V73,V87,S80))</f>
        <v>1168.7870094576099</v>
      </c>
      <c r="W80" s="60"/>
      <c r="X80" s="60"/>
      <c r="Y80" s="60">
        <f>IF(W73,W87,IF(Y73,Y87,V80))</f>
        <v>1168.7870094576099</v>
      </c>
      <c r="Z80" s="60"/>
      <c r="AA80" s="60"/>
      <c r="AB80" s="60">
        <f>IF(Z73,Z87,IF(AB73,AB87,Y80))</f>
        <v>1168.7870094576099</v>
      </c>
      <c r="AC80" s="60"/>
      <c r="AD80" s="60"/>
      <c r="AE80" s="60">
        <f>IF(AC73,AC87,IF(AE73,AE87,AB80))</f>
        <v>1168.7870094576099</v>
      </c>
      <c r="AF80" s="4"/>
      <c r="AG80" s="4"/>
      <c r="AJ80" s="4"/>
      <c r="AL80" s="4"/>
      <c r="AM80" s="4"/>
      <c r="AN80" s="4"/>
      <c r="AO80" s="4"/>
      <c r="AT80" s="55" t="str">
        <f>B80</f>
        <v>Foothills 12 Kim</v>
      </c>
      <c r="AU80" s="55">
        <f>AE80</f>
        <v>1168.7870094576099</v>
      </c>
      <c r="AW80" s="59"/>
    </row>
    <row r="81" spans="1:49" s="55" customFormat="1" hidden="1" x14ac:dyDescent="0.25">
      <c r="A81" s="60">
        <v>3</v>
      </c>
      <c r="B81" s="60" t="str">
        <f>E12</f>
        <v>PSVC 11/12 Megan</v>
      </c>
      <c r="C81" s="60">
        <f>VLOOKUP(B81,AU$3:AW$33,3,FALSE)</f>
        <v>1379.4866939693193</v>
      </c>
      <c r="D81" s="60">
        <f>IF(B74,B87,IF(D74,D87,C81))</f>
        <v>1383.4501233768392</v>
      </c>
      <c r="E81" s="60"/>
      <c r="F81" s="60"/>
      <c r="G81" s="60">
        <f>IF(E74,E87,IF(G74,G87,D81))</f>
        <v>1383.4501233768392</v>
      </c>
      <c r="H81" s="60"/>
      <c r="I81" s="60"/>
      <c r="J81" s="60">
        <f>IF(H74,H87,IF(J74,J87,G81))</f>
        <v>1383.4501233768392</v>
      </c>
      <c r="K81" s="60"/>
      <c r="L81" s="60"/>
      <c r="M81" s="60">
        <f>IF(K74,K87,IF(M74,M87,J81))</f>
        <v>1388.5959955407268</v>
      </c>
      <c r="N81" s="60"/>
      <c r="O81" s="60"/>
      <c r="P81" s="60">
        <f>IF(N74,N87,IF(P74,P87,M81))</f>
        <v>1376.8957801204724</v>
      </c>
      <c r="Q81" s="60"/>
      <c r="R81" s="60"/>
      <c r="S81" s="60">
        <f>IF(Q74,Q87,IF(S74,S87,P81))</f>
        <v>1376.8957801204724</v>
      </c>
      <c r="T81" s="60"/>
      <c r="U81" s="60"/>
      <c r="V81" s="60">
        <f>IF(T74,T87,IF(V74,V87,S81))</f>
        <v>1376.8957801204724</v>
      </c>
      <c r="W81" s="60"/>
      <c r="X81" s="60"/>
      <c r="Y81" s="60">
        <f>IF(W74,W87,IF(Y74,Y87,V81))</f>
        <v>1376.8957801204724</v>
      </c>
      <c r="Z81" s="60"/>
      <c r="AA81" s="60"/>
      <c r="AB81" s="60">
        <f>IF(Z74,Z87,IF(AB74,AB87,Y81))</f>
        <v>1376.8957801204724</v>
      </c>
      <c r="AC81" s="60"/>
      <c r="AD81" s="60"/>
      <c r="AE81" s="60">
        <f>IF(AC74,AC87,IF(AE74,AE87,AB81))</f>
        <v>1376.8957801204724</v>
      </c>
      <c r="AF81" s="4"/>
      <c r="AG81" s="4"/>
      <c r="AJ81" s="4"/>
      <c r="AL81" s="4"/>
      <c r="AM81" s="4"/>
      <c r="AN81" s="4"/>
      <c r="AO81" s="4"/>
      <c r="AT81" s="55" t="str">
        <f>B81</f>
        <v>PSVC 11/12 Megan</v>
      </c>
      <c r="AU81" s="55">
        <f>AE81</f>
        <v>1376.8957801204724</v>
      </c>
      <c r="AW81" s="59"/>
    </row>
    <row r="82" spans="1:49" s="55" customFormat="1" hidden="1" x14ac:dyDescent="0.25">
      <c r="A82" s="60">
        <v>4</v>
      </c>
      <c r="B82" s="60" t="str">
        <f>E14</f>
        <v>Crossfire 12 Jrs</v>
      </c>
      <c r="C82" s="60">
        <f>VLOOKUP(B82,AU$3:AW$33,3,FALSE)</f>
        <v>1214.5304984710244</v>
      </c>
      <c r="D82" s="60">
        <f>IF(B75,B87,IF(D75,D87,C82))</f>
        <v>1214.5304984710244</v>
      </c>
      <c r="E82" s="60"/>
      <c r="F82" s="60"/>
      <c r="G82" s="60">
        <f>IF(E75,E87,IF(G75,G87,D82))</f>
        <v>1207.2652492355121</v>
      </c>
      <c r="H82" s="60"/>
      <c r="I82" s="60"/>
      <c r="J82" s="60">
        <f>IF(H75,H87,IF(J75,J87,G82))</f>
        <v>1214.6971315280057</v>
      </c>
      <c r="K82" s="60"/>
      <c r="L82" s="60"/>
      <c r="M82" s="60">
        <f>IF(K75,K87,IF(M75,M87,J82))</f>
        <v>1214.6971315280057</v>
      </c>
      <c r="N82" s="60"/>
      <c r="O82" s="60"/>
      <c r="P82" s="60">
        <f>IF(N75,N87,IF(P75,P87,M82))</f>
        <v>1226.3973469482601</v>
      </c>
      <c r="Q82" s="60"/>
      <c r="R82" s="60"/>
      <c r="S82" s="60">
        <f>IF(Q75,Q87,IF(S75,S87,P82))</f>
        <v>1226.3973469482601</v>
      </c>
      <c r="T82" s="60"/>
      <c r="U82" s="60"/>
      <c r="V82" s="60">
        <f>IF(T75,T87,IF(V75,V87,S82))</f>
        <v>1226.3973469482601</v>
      </c>
      <c r="W82" s="60"/>
      <c r="X82" s="60"/>
      <c r="Y82" s="60">
        <f>IF(W75,W87,IF(Y75,Y87,V82))</f>
        <v>1226.3973469482601</v>
      </c>
      <c r="Z82" s="60"/>
      <c r="AA82" s="60"/>
      <c r="AB82" s="60">
        <f>IF(Z75,Z87,IF(AB75,AB87,Y82))</f>
        <v>1226.3973469482601</v>
      </c>
      <c r="AC82" s="60"/>
      <c r="AD82" s="60"/>
      <c r="AE82" s="60">
        <f>IF(AC75,AC87,IF(AE75,AE87,AB82))</f>
        <v>1226.3973469482601</v>
      </c>
      <c r="AF82" s="4"/>
      <c r="AG82" s="4"/>
      <c r="AJ82" s="4"/>
      <c r="AL82" s="4"/>
      <c r="AM82" s="4"/>
      <c r="AN82" s="4"/>
      <c r="AO82" s="4"/>
      <c r="AT82" s="55" t="str">
        <f>B82</f>
        <v>Crossfire 12 Jrs</v>
      </c>
      <c r="AU82" s="55">
        <f>AE82</f>
        <v>1226.3973469482601</v>
      </c>
      <c r="AW82" s="59"/>
    </row>
    <row r="83" spans="1:49" s="55" customFormat="1" hidden="1" x14ac:dyDescent="0.25">
      <c r="A83" s="60">
        <v>5</v>
      </c>
      <c r="B83" s="60" t="e">
        <f>E16</f>
        <v>#REF!</v>
      </c>
      <c r="C83" s="60" t="e">
        <f>VLOOKUP(B83,AU$3:AW$33,3,FALSE)</f>
        <v>#REF!</v>
      </c>
      <c r="D83" s="60" t="e">
        <f>IF(B76,B87,IF(D76,D87,C83))</f>
        <v>#REF!</v>
      </c>
      <c r="E83" s="60"/>
      <c r="F83" s="60"/>
      <c r="G83" s="60" t="e">
        <f>IF(E76,E87,IF(G76,G87,D83))</f>
        <v>#REF!</v>
      </c>
      <c r="H83" s="60"/>
      <c r="I83" s="60"/>
      <c r="J83" s="60" t="e">
        <f>IF(H76,H87,IF(J76,J87,G83))</f>
        <v>#REF!</v>
      </c>
      <c r="K83" s="60"/>
      <c r="L83" s="60"/>
      <c r="M83" s="60" t="e">
        <f>IF(K76,K87,IF(M76,M87,J83))</f>
        <v>#REF!</v>
      </c>
      <c r="N83" s="60"/>
      <c r="O83" s="60"/>
      <c r="P83" s="60" t="e">
        <f>IF(N76,N87,IF(P76,P87,M83))</f>
        <v>#REF!</v>
      </c>
      <c r="Q83" s="60"/>
      <c r="R83" s="60"/>
      <c r="S83" s="60" t="e">
        <f>IF(Q76,Q87,IF(S76,S87,P83))</f>
        <v>#REF!</v>
      </c>
      <c r="T83" s="60"/>
      <c r="U83" s="60"/>
      <c r="V83" s="60" t="e">
        <f>IF(T76,T87,IF(V76,V87,S83))</f>
        <v>#REF!</v>
      </c>
      <c r="W83" s="60"/>
      <c r="X83" s="60"/>
      <c r="Y83" s="60" t="e">
        <f>IF(W76,W87,IF(Y76,Y87,V83))</f>
        <v>#REF!</v>
      </c>
      <c r="Z83" s="60"/>
      <c r="AA83" s="60"/>
      <c r="AB83" s="60" t="e">
        <f>IF(Z76,Z87,IF(AB76,AB87,Y83))</f>
        <v>#REF!</v>
      </c>
      <c r="AC83" s="60"/>
      <c r="AD83" s="60"/>
      <c r="AE83" s="60" t="e">
        <f>IF(AC76,AC87,IF(AE76,AE87,AB83))</f>
        <v>#REF!</v>
      </c>
      <c r="AF83" s="4"/>
      <c r="AG83" s="4"/>
      <c r="AJ83" s="4"/>
      <c r="AL83" s="4"/>
      <c r="AM83" s="4"/>
      <c r="AN83" s="4"/>
      <c r="AO83" s="4"/>
      <c r="AT83" s="55" t="e">
        <f>B83</f>
        <v>#REF!</v>
      </c>
      <c r="AU83" s="55" t="e">
        <f>AE83</f>
        <v>#REF!</v>
      </c>
      <c r="AW83" s="59"/>
    </row>
    <row r="84" spans="1:49" s="55" customFormat="1" hidden="1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4"/>
      <c r="AG84" s="4"/>
      <c r="AJ84" s="4"/>
      <c r="AL84" s="4"/>
      <c r="AM84" s="4"/>
      <c r="AN84" s="4"/>
      <c r="AO84" s="4"/>
      <c r="AW84" s="59"/>
    </row>
    <row r="85" spans="1:49" s="55" customFormat="1" hidden="1" x14ac:dyDescent="0.25">
      <c r="A85" s="60" t="s">
        <v>96</v>
      </c>
      <c r="B85" s="60">
        <f>VLOOKUP(B24,$A79:$AE83,3,FALSE)</f>
        <v>1186.5140380302898</v>
      </c>
      <c r="C85" s="60">
        <v>1</v>
      </c>
      <c r="D85" s="60">
        <f>VLOOKUP(D24,$A79:$AE83,3,FALSE)</f>
        <v>1379.4866939693193</v>
      </c>
      <c r="E85" s="60">
        <f>VLOOKUP(E24,$A79:$AE83,4,FALSE)</f>
        <v>1246.5304984710244</v>
      </c>
      <c r="F85" s="60">
        <v>2</v>
      </c>
      <c r="G85" s="60">
        <f>VLOOKUP(G24,$A79:$AE83,4,FALSE)</f>
        <v>1214.5304984710244</v>
      </c>
      <c r="H85" s="60">
        <f>VLOOKUP(H24,$A79:$AE83,7,FALSE)</f>
        <v>1182.5506086227699</v>
      </c>
      <c r="I85" s="60">
        <v>3</v>
      </c>
      <c r="J85" s="60">
        <f>VLOOKUP(J24,$A79:$AE83,7,FALSE)</f>
        <v>1207.2652492355121</v>
      </c>
      <c r="K85" s="60">
        <f>VLOOKUP(K24,$A79:$AE83,10,FALSE)</f>
        <v>1253.7957477065368</v>
      </c>
      <c r="L85" s="60">
        <v>4</v>
      </c>
      <c r="M85" s="60">
        <f>VLOOKUP(M24,$A79:$AE83,10,FALSE)</f>
        <v>1383.4501233768392</v>
      </c>
      <c r="N85" s="60">
        <f>VLOOKUP(N24,$A79:$AE83,13,FALSE)</f>
        <v>1388.5959955407268</v>
      </c>
      <c r="O85" s="60">
        <v>5</v>
      </c>
      <c r="P85" s="60">
        <f>VLOOKUP(P24,$A79:$AE83,13,FALSE)</f>
        <v>1214.6971315280057</v>
      </c>
      <c r="Q85" s="60">
        <f>VLOOKUP(Q24,$A79:$AE83,16,FALSE)</f>
        <v>1248.6498755426492</v>
      </c>
      <c r="R85" s="60">
        <v>6</v>
      </c>
      <c r="S85" s="60">
        <f>VLOOKUP(S24,$A79:$AE83,16,FALSE)</f>
        <v>1175.1187263302763</v>
      </c>
      <c r="T85" s="60" t="e">
        <f>VLOOKUP(T24,$A79:$AE83,19,FALSE)</f>
        <v>#N/A</v>
      </c>
      <c r="U85" s="60">
        <v>7</v>
      </c>
      <c r="V85" s="60" t="e">
        <f>VLOOKUP(V24,$A79:$AE83,19,FALSE)</f>
        <v>#N/A</v>
      </c>
      <c r="W85" s="60" t="e">
        <f>VLOOKUP(W24,$A79:$AE83,22,FALSE)</f>
        <v>#N/A</v>
      </c>
      <c r="X85" s="60">
        <v>8</v>
      </c>
      <c r="Y85" s="60" t="e">
        <f>VLOOKUP(Y24,$A79:$AE83,22,FALSE)</f>
        <v>#N/A</v>
      </c>
      <c r="Z85" s="60" t="e">
        <f>VLOOKUP(Z24,$A79:$AE83,25,FALSE)</f>
        <v>#N/A</v>
      </c>
      <c r="AA85" s="60">
        <v>9</v>
      </c>
      <c r="AB85" s="60" t="e">
        <f>VLOOKUP(AB24,$A79:$AE83,25,FALSE)</f>
        <v>#N/A</v>
      </c>
      <c r="AC85" s="60" t="e">
        <f>VLOOKUP(AC24,$A79:$AE83,28,FALSE)</f>
        <v>#N/A</v>
      </c>
      <c r="AD85" s="60">
        <v>10</v>
      </c>
      <c r="AE85" s="60" t="e">
        <f>VLOOKUP(AE24,$A79:$AE83,28,FALSE)</f>
        <v>#N/A</v>
      </c>
      <c r="AF85" s="4"/>
      <c r="AG85" s="53"/>
      <c r="AH85" s="53"/>
      <c r="AI85" s="53"/>
      <c r="AJ85" s="53"/>
      <c r="AK85" s="53"/>
      <c r="AL85" s="53"/>
      <c r="AM85" s="53"/>
      <c r="AN85" s="54"/>
      <c r="AO85" s="54"/>
      <c r="AP85" s="54"/>
      <c r="AQ85" s="54"/>
      <c r="AW85" s="59"/>
    </row>
    <row r="86" spans="1:49" s="65" customFormat="1" hidden="1" x14ac:dyDescent="0.25">
      <c r="A86" s="61" t="s">
        <v>97</v>
      </c>
      <c r="B86" s="61">
        <f>1/(1+(10^-((B85-D85)/400)))*(B36+D36)</f>
        <v>0.24771433796998973</v>
      </c>
      <c r="C86" s="61"/>
      <c r="D86" s="61">
        <f>1/(1+(10^-((D85-B85)/400)))*(B36+D36)</f>
        <v>0.75228566203001024</v>
      </c>
      <c r="E86" s="61">
        <f>1/(1+(10^-((E85-G85)/400)))*(E36+G36)</f>
        <v>0.54592192278048368</v>
      </c>
      <c r="F86" s="61"/>
      <c r="G86" s="61">
        <f>1/(1+(10^-((G85-E85)/400)))*(E36+G36)</f>
        <v>0.45407807721951632</v>
      </c>
      <c r="H86" s="61">
        <f>1/(1+(10^-((H85-J85)/400)))*(H36+J36)</f>
        <v>0.46449264328085305</v>
      </c>
      <c r="I86" s="61"/>
      <c r="J86" s="61">
        <f>1/(1+(10^-((J85-H85)/400)))*(H36+J36)</f>
        <v>0.53550735671914695</v>
      </c>
      <c r="K86" s="61">
        <f>1/(1+(10^-((K85-M85)/400)))*(K36+M36)</f>
        <v>0.32161701024297717</v>
      </c>
      <c r="L86" s="61"/>
      <c r="M86" s="61">
        <f>1/(1+(10^-((M85-K85)/400)))*(K36+M36)</f>
        <v>0.67838298975702271</v>
      </c>
      <c r="N86" s="61">
        <f>1/(1+(10^-((N85-P85)/400)))*(N36+P36)</f>
        <v>0.73126346376589213</v>
      </c>
      <c r="O86" s="61"/>
      <c r="P86" s="61">
        <f>1/(1+(10^-((P85-N85)/400)))*(N36+P36)</f>
        <v>0.26873653623410781</v>
      </c>
      <c r="Q86" s="61">
        <f>1/(1+(10^-((Q85-S85)/400)))*(Q36+S36)</f>
        <v>0.60426769545835368</v>
      </c>
      <c r="R86" s="61"/>
      <c r="S86" s="61">
        <f>1/(1+(10^-((S85-Q85)/400)))*(Q36+S36)</f>
        <v>0.39573230454164643</v>
      </c>
      <c r="T86" s="61" t="e">
        <f>1/(1+(10^-((T85-V85)/400)))*(T36+V36)</f>
        <v>#N/A</v>
      </c>
      <c r="U86" s="61"/>
      <c r="V86" s="61" t="e">
        <f>1/(1+(10^-((V85-T85)/400)))*(T36+V36)</f>
        <v>#N/A</v>
      </c>
      <c r="W86" s="61" t="e">
        <f>1/(1+(10^-((W85-Y85)/400)))*(W36+Y36)</f>
        <v>#N/A</v>
      </c>
      <c r="X86" s="61"/>
      <c r="Y86" s="61" t="e">
        <f>1/(1+(10^-((Y85-W85)/400)))*(W36+Y36)</f>
        <v>#N/A</v>
      </c>
      <c r="Z86" s="61" t="e">
        <f>1/(1+(10^-((Z85-AB85)/400)))*(Z36+AB36)</f>
        <v>#N/A</v>
      </c>
      <c r="AA86" s="61"/>
      <c r="AB86" s="61" t="e">
        <f>1/(1+(10^-((AB85-Z85)/400)))*(Z36+AB36)</f>
        <v>#N/A</v>
      </c>
      <c r="AC86" s="61" t="e">
        <f>1/(1+(10^-((AC85-AE85)/400)))*(AC36+AE36)</f>
        <v>#N/A</v>
      </c>
      <c r="AD86" s="61"/>
      <c r="AE86" s="61" t="e">
        <f>1/(1+(10^-((AE85-AC85)/400)))*(AC36+AE36)</f>
        <v>#N/A</v>
      </c>
      <c r="AF86" s="62"/>
      <c r="AG86" s="63"/>
      <c r="AH86" s="63"/>
      <c r="AI86" s="63"/>
      <c r="AJ86" s="63"/>
      <c r="AK86" s="63"/>
      <c r="AL86" s="63"/>
      <c r="AM86" s="63"/>
      <c r="AN86" s="64"/>
      <c r="AO86" s="64"/>
      <c r="AP86" s="64"/>
      <c r="AQ86" s="64"/>
      <c r="AW86" s="66"/>
    </row>
    <row r="87" spans="1:49" s="71" customFormat="1" hidden="1" x14ac:dyDescent="0.25">
      <c r="A87" s="67" t="s">
        <v>98</v>
      </c>
      <c r="B87" s="67">
        <f>B85+(B36-B86)*$BA$1</f>
        <v>1182.5506086227699</v>
      </c>
      <c r="C87" s="67"/>
      <c r="D87" s="67">
        <f>D85+(D36-D86)*$BA$1</f>
        <v>1383.4501233768392</v>
      </c>
      <c r="E87" s="67">
        <f>E85+(E36-E86)*$BA$1</f>
        <v>1253.7957477065368</v>
      </c>
      <c r="F87" s="67"/>
      <c r="G87" s="67">
        <f>G85+(G36-G86)*$BA$1</f>
        <v>1207.2652492355121</v>
      </c>
      <c r="H87" s="67">
        <f>H85+(H36-H86)*$BA$1</f>
        <v>1175.1187263302763</v>
      </c>
      <c r="I87" s="67"/>
      <c r="J87" s="67">
        <f>J85+(J36-J86)*$BA$1</f>
        <v>1214.6971315280057</v>
      </c>
      <c r="K87" s="67">
        <f>K85+(K36-K86)*$BA$1</f>
        <v>1248.6498755426492</v>
      </c>
      <c r="L87" s="67"/>
      <c r="M87" s="67">
        <f>M85+(M36-M86)*$BA$1</f>
        <v>1388.5959955407268</v>
      </c>
      <c r="N87" s="67">
        <f>N85+(N36-N86)*$BA$1</f>
        <v>1376.8957801204724</v>
      </c>
      <c r="O87" s="67"/>
      <c r="P87" s="67">
        <f>P85+(P36-P86)*$BA$1</f>
        <v>1226.3973469482601</v>
      </c>
      <c r="Q87" s="67">
        <f>Q85+(Q36-Q86)*$BA$1</f>
        <v>1254.9815924153156</v>
      </c>
      <c r="R87" s="67"/>
      <c r="S87" s="67">
        <f>S85+(S36-S86)*$BA$1</f>
        <v>1168.7870094576099</v>
      </c>
      <c r="T87" s="67" t="e">
        <f>T85+(T36-T86)*$BA$1</f>
        <v>#N/A</v>
      </c>
      <c r="U87" s="67"/>
      <c r="V87" s="67" t="e">
        <f>V85+(V36-V86)*$BA$1</f>
        <v>#N/A</v>
      </c>
      <c r="W87" s="67" t="e">
        <f>W85+(W36-W86)*$BA$1</f>
        <v>#N/A</v>
      </c>
      <c r="X87" s="67"/>
      <c r="Y87" s="67" t="e">
        <f>Y85+(Y36-Y86)*$BA$1</f>
        <v>#N/A</v>
      </c>
      <c r="Z87" s="67" t="e">
        <f>Z85+(Z36-Z86)*$BA$1</f>
        <v>#N/A</v>
      </c>
      <c r="AA87" s="67"/>
      <c r="AB87" s="67" t="e">
        <f>AB85+(AB36-AB86)*$BA$1</f>
        <v>#N/A</v>
      </c>
      <c r="AC87" s="67" t="e">
        <f>AC85+(AC36-AC86)*$BA$1</f>
        <v>#N/A</v>
      </c>
      <c r="AD87" s="67"/>
      <c r="AE87" s="67" t="e">
        <f>AE85+(AE36-AE86)*$BA$1</f>
        <v>#N/A</v>
      </c>
      <c r="AF87" s="68"/>
      <c r="AG87" s="69"/>
      <c r="AH87" s="69"/>
      <c r="AI87" s="69"/>
      <c r="AJ87" s="69"/>
      <c r="AK87" s="69"/>
      <c r="AL87" s="69"/>
      <c r="AM87" s="69"/>
      <c r="AN87" s="70"/>
      <c r="AO87" s="70"/>
      <c r="AP87" s="70"/>
      <c r="AQ87" s="70"/>
      <c r="AW87" s="72"/>
    </row>
    <row r="88" spans="1:49" s="71" customFormat="1" hidden="1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8"/>
      <c r="AG88" s="69"/>
      <c r="AH88" s="69"/>
      <c r="AI88" s="69"/>
      <c r="AJ88" s="69"/>
      <c r="AK88" s="69"/>
      <c r="AL88" s="69"/>
      <c r="AM88" s="69"/>
      <c r="AN88" s="70"/>
      <c r="AO88" s="70"/>
      <c r="AP88" s="70"/>
      <c r="AQ88" s="70"/>
      <c r="AT88" s="72"/>
    </row>
    <row r="89" spans="1:49" s="55" customFormat="1" hidden="1" x14ac:dyDescent="0.25">
      <c r="A89" s="151" t="str">
        <f>IF($AK10=1,"Pool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Pool Tiereaker : 1) Matches Won vs Lost (if 3 way tie then #4)  2) Head to Head  3) Game Win %  4) Total Pool Net Points  5) Flip a Coin</v>
      </c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2"/>
      <c r="AO89" s="152"/>
      <c r="AP89" s="152"/>
      <c r="AQ89" s="152"/>
    </row>
    <row r="90" spans="1:49" s="55" customFormat="1" ht="13.8" thickBot="1" x14ac:dyDescent="0.3">
      <c r="A90" s="153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</row>
    <row r="91" spans="1:49" ht="24" customHeight="1" thickBot="1" x14ac:dyDescent="0.3">
      <c r="A91" s="21" t="s">
        <v>26</v>
      </c>
      <c r="B91" s="22" t="s">
        <v>99</v>
      </c>
      <c r="C91" s="230" t="s">
        <v>28</v>
      </c>
      <c r="D91" s="231"/>
      <c r="E91" s="231"/>
      <c r="F91" s="231"/>
      <c r="G91" s="231"/>
      <c r="H91" s="232"/>
      <c r="I91" s="233">
        <v>2</v>
      </c>
      <c r="J91" s="234"/>
      <c r="K91" s="295" t="str">
        <f>"Pool "&amp;B91&amp;" - Round 1 - Court "&amp;I91</f>
        <v>Pool BB - Round 1 - Court 2</v>
      </c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7"/>
      <c r="AJ91" s="6"/>
      <c r="AK91" s="6"/>
      <c r="AL91" s="6"/>
      <c r="AM91" s="6"/>
      <c r="AN91" s="6"/>
      <c r="AO91" s="6"/>
      <c r="AP91" s="6"/>
      <c r="AQ91" s="6"/>
    </row>
    <row r="92" spans="1:49" ht="27" customHeight="1" thickBot="1" x14ac:dyDescent="0.3">
      <c r="A92" s="23" t="s">
        <v>31</v>
      </c>
      <c r="B92" s="238" t="s">
        <v>8</v>
      </c>
      <c r="C92" s="239"/>
      <c r="D92" s="239"/>
      <c r="E92" s="239"/>
      <c r="F92" s="239"/>
      <c r="G92" s="239"/>
      <c r="H92" s="239"/>
      <c r="I92" s="239"/>
      <c r="J92" s="239"/>
      <c r="K92" s="239"/>
      <c r="L92" s="238" t="str">
        <f>IF($AK95=0,"Games Won","Matches Won")</f>
        <v>Matches Won</v>
      </c>
      <c r="M92" s="239"/>
      <c r="N92" s="239"/>
      <c r="O92" s="239"/>
      <c r="P92" s="239"/>
      <c r="Q92" s="240"/>
      <c r="R92" s="238" t="str">
        <f>IF($AK95=0,"Games Lost","Matches Lost")</f>
        <v>Matches Lost</v>
      </c>
      <c r="S92" s="241"/>
      <c r="T92" s="241"/>
      <c r="U92" s="241"/>
      <c r="V92" s="242"/>
      <c r="W92" s="243" t="s">
        <v>32</v>
      </c>
      <c r="X92" s="244"/>
      <c r="Y92" s="245"/>
      <c r="Z92" s="243" t="s">
        <v>33</v>
      </c>
      <c r="AA92" s="244"/>
      <c r="AB92" s="245"/>
      <c r="AC92" s="246" t="s">
        <v>34</v>
      </c>
      <c r="AD92" s="247"/>
      <c r="AE92" s="248"/>
      <c r="AF92" s="24" t="s">
        <v>35</v>
      </c>
      <c r="AG92" s="25" t="s">
        <v>7</v>
      </c>
      <c r="AH92" s="228" t="s">
        <v>36</v>
      </c>
      <c r="AI92" s="229"/>
      <c r="AJ92" s="26"/>
      <c r="AK92" s="27">
        <v>1</v>
      </c>
      <c r="AL92" s="28" t="s">
        <v>37</v>
      </c>
      <c r="AM92" s="28"/>
      <c r="AN92" s="28"/>
      <c r="AO92" s="28"/>
      <c r="AP92" s="28"/>
      <c r="AQ92" s="28"/>
      <c r="AR92" s="29"/>
    </row>
    <row r="93" spans="1:49" ht="18.75" customHeight="1" x14ac:dyDescent="0.25">
      <c r="A93" s="194" t="str">
        <f>IF($AK94&gt;0,"1","")</f>
        <v>1</v>
      </c>
      <c r="B93" s="225" t="s">
        <v>8</v>
      </c>
      <c r="C93" s="226"/>
      <c r="D93" s="227"/>
      <c r="E93" s="217" t="str">
        <f>AU4</f>
        <v>SCWE12FLYERS</v>
      </c>
      <c r="F93" s="218"/>
      <c r="G93" s="218"/>
      <c r="H93" s="218"/>
      <c r="I93" s="218"/>
      <c r="J93" s="218"/>
      <c r="K93" s="219"/>
      <c r="L93" s="201">
        <f>IF($AK95=0,AF149,AF131)</f>
        <v>1</v>
      </c>
      <c r="M93" s="202"/>
      <c r="N93" s="202"/>
      <c r="O93" s="202"/>
      <c r="P93" s="202"/>
      <c r="Q93" s="240"/>
      <c r="R93" s="201">
        <f>IF($AK95=0,AG149,AG131)</f>
        <v>2</v>
      </c>
      <c r="S93" s="202"/>
      <c r="T93" s="202"/>
      <c r="U93" s="202"/>
      <c r="V93" s="202"/>
      <c r="W93" s="201">
        <f>AQ109</f>
        <v>-18</v>
      </c>
      <c r="X93" s="202"/>
      <c r="Y93" s="202"/>
      <c r="Z93" s="174">
        <f>IF(AF143&gt;0,(AQ109/AF143),0)</f>
        <v>-0.2608695652173913</v>
      </c>
      <c r="AA93" s="175"/>
      <c r="AB93" s="175"/>
      <c r="AC93" s="178">
        <f>IF(AF157=0,0,(AF149/AF157))</f>
        <v>0.33333333333333331</v>
      </c>
      <c r="AD93" s="179"/>
      <c r="AE93" s="180"/>
      <c r="AF93" s="184">
        <v>4</v>
      </c>
      <c r="AG93" s="184">
        <v>4</v>
      </c>
      <c r="AH93" s="186">
        <v>6</v>
      </c>
      <c r="AI93" s="187"/>
      <c r="AJ93" s="26"/>
      <c r="AK93" s="27">
        <v>6</v>
      </c>
      <c r="AL93" s="28" t="s">
        <v>38</v>
      </c>
      <c r="AM93" s="28"/>
      <c r="AN93" s="28"/>
      <c r="AO93" s="28"/>
      <c r="AP93" s="28"/>
      <c r="AQ93" s="28"/>
      <c r="AR93" s="29"/>
    </row>
    <row r="94" spans="1:49" ht="18.75" customHeight="1" thickBot="1" x14ac:dyDescent="0.3">
      <c r="A94" s="195"/>
      <c r="B94" s="222" t="s">
        <v>9</v>
      </c>
      <c r="C94" s="223"/>
      <c r="D94" s="224"/>
      <c r="E94" s="215" t="str">
        <f>AV4</f>
        <v>FJ2SCWEA1PM</v>
      </c>
      <c r="F94" s="216"/>
      <c r="G94" s="216"/>
      <c r="H94" s="216"/>
      <c r="I94" s="216"/>
      <c r="J94" s="216"/>
      <c r="K94" s="216"/>
      <c r="L94" s="220"/>
      <c r="M94" s="221"/>
      <c r="N94" s="221"/>
      <c r="O94" s="221"/>
      <c r="P94" s="221"/>
      <c r="Q94" s="240"/>
      <c r="R94" s="220"/>
      <c r="S94" s="221"/>
      <c r="T94" s="221"/>
      <c r="U94" s="221"/>
      <c r="V94" s="221"/>
      <c r="W94" s="220"/>
      <c r="X94" s="221"/>
      <c r="Y94" s="221"/>
      <c r="Z94" s="205"/>
      <c r="AA94" s="206"/>
      <c r="AB94" s="206"/>
      <c r="AC94" s="207"/>
      <c r="AD94" s="208"/>
      <c r="AE94" s="209"/>
      <c r="AF94" s="210"/>
      <c r="AG94" s="210"/>
      <c r="AH94" s="211"/>
      <c r="AI94" s="212"/>
      <c r="AJ94" s="26"/>
      <c r="AK94" s="27">
        <v>4</v>
      </c>
      <c r="AL94" s="28" t="s">
        <v>39</v>
      </c>
      <c r="AM94" s="26"/>
      <c r="AN94" s="26"/>
      <c r="AO94" s="26"/>
      <c r="AP94" s="26"/>
      <c r="AQ94" s="26"/>
      <c r="AR94" s="3"/>
    </row>
    <row r="95" spans="1:49" ht="18.75" customHeight="1" x14ac:dyDescent="0.25">
      <c r="A95" s="194" t="str">
        <f>IF($AK94&gt;1,"2","")</f>
        <v>2</v>
      </c>
      <c r="B95" s="225" t="s">
        <v>8</v>
      </c>
      <c r="C95" s="226"/>
      <c r="D95" s="227"/>
      <c r="E95" s="217" t="str">
        <f>AU5</f>
        <v>SC Midlands KP Black</v>
      </c>
      <c r="F95" s="218"/>
      <c r="G95" s="218"/>
      <c r="H95" s="218"/>
      <c r="I95" s="218"/>
      <c r="J95" s="218"/>
      <c r="K95" s="219"/>
      <c r="L95" s="201">
        <f>IF($AK95=0,AF150,AF132)</f>
        <v>3</v>
      </c>
      <c r="M95" s="202"/>
      <c r="N95" s="202"/>
      <c r="O95" s="202"/>
      <c r="P95" s="202"/>
      <c r="Q95" s="240"/>
      <c r="R95" s="201">
        <f>IF($AK95=0,AG150,AG132)</f>
        <v>0</v>
      </c>
      <c r="S95" s="202"/>
      <c r="T95" s="202"/>
      <c r="U95" s="202"/>
      <c r="V95" s="202"/>
      <c r="W95" s="201">
        <f>AQ110</f>
        <v>34</v>
      </c>
      <c r="X95" s="202"/>
      <c r="Y95" s="202"/>
      <c r="Z95" s="174">
        <f>IF(AF144&gt;0,(AQ110/AF144),0)</f>
        <v>0.48571428571428571</v>
      </c>
      <c r="AA95" s="175"/>
      <c r="AB95" s="175"/>
      <c r="AC95" s="178">
        <f>IF(AF158=0,0,(AF150/AF158))</f>
        <v>1</v>
      </c>
      <c r="AD95" s="179"/>
      <c r="AE95" s="180"/>
      <c r="AF95" s="184">
        <v>1</v>
      </c>
      <c r="AG95" s="184">
        <v>1</v>
      </c>
      <c r="AH95" s="186">
        <v>4</v>
      </c>
      <c r="AI95" s="187"/>
      <c r="AJ95" s="26"/>
      <c r="AK95" s="27">
        <v>1</v>
      </c>
      <c r="AL95" s="28" t="s">
        <v>42</v>
      </c>
      <c r="AM95" s="28"/>
      <c r="AN95" s="28"/>
      <c r="AO95" s="28"/>
      <c r="AP95" s="28"/>
      <c r="AQ95" s="28"/>
      <c r="AR95" s="29"/>
    </row>
    <row r="96" spans="1:49" ht="18.75" customHeight="1" thickBot="1" x14ac:dyDescent="0.3">
      <c r="A96" s="195"/>
      <c r="B96" s="213" t="s">
        <v>9</v>
      </c>
      <c r="C96" s="214"/>
      <c r="D96" s="214"/>
      <c r="E96" s="215" t="str">
        <f>AV5</f>
        <v>FJ2SCMID2PM</v>
      </c>
      <c r="F96" s="216"/>
      <c r="G96" s="216"/>
      <c r="H96" s="216"/>
      <c r="I96" s="216"/>
      <c r="J96" s="216"/>
      <c r="K96" s="216"/>
      <c r="L96" s="220"/>
      <c r="M96" s="221"/>
      <c r="N96" s="221"/>
      <c r="O96" s="221"/>
      <c r="P96" s="221"/>
      <c r="Q96" s="240"/>
      <c r="R96" s="220"/>
      <c r="S96" s="221"/>
      <c r="T96" s="221"/>
      <c r="U96" s="221"/>
      <c r="V96" s="221"/>
      <c r="W96" s="220"/>
      <c r="X96" s="221"/>
      <c r="Y96" s="221"/>
      <c r="Z96" s="205"/>
      <c r="AA96" s="206"/>
      <c r="AB96" s="206"/>
      <c r="AC96" s="207"/>
      <c r="AD96" s="208"/>
      <c r="AE96" s="209"/>
      <c r="AF96" s="210"/>
      <c r="AG96" s="210"/>
      <c r="AH96" s="211"/>
      <c r="AI96" s="212"/>
      <c r="AJ96" s="26"/>
      <c r="AK96" s="27">
        <v>1</v>
      </c>
      <c r="AL96" s="28" t="s">
        <v>44</v>
      </c>
      <c r="AM96" s="26"/>
      <c r="AN96" s="26"/>
      <c r="AO96" s="26"/>
      <c r="AP96" s="26"/>
      <c r="AQ96" s="26"/>
      <c r="AR96" s="3"/>
    </row>
    <row r="97" spans="1:44" ht="18.75" customHeight="1" x14ac:dyDescent="0.25">
      <c r="A97" s="194" t="str">
        <f>IF($AK94&gt;2,"3","")</f>
        <v>3</v>
      </c>
      <c r="B97" s="196" t="s">
        <v>8</v>
      </c>
      <c r="C97" s="197"/>
      <c r="D97" s="197"/>
      <c r="E97" s="217" t="str">
        <f>AU8</f>
        <v>USA 12's Pink</v>
      </c>
      <c r="F97" s="218"/>
      <c r="G97" s="218"/>
      <c r="H97" s="218"/>
      <c r="I97" s="218"/>
      <c r="J97" s="218"/>
      <c r="K97" s="219"/>
      <c r="L97" s="201">
        <f>IF($AK95=0,AF151,AF133)</f>
        <v>1</v>
      </c>
      <c r="M97" s="202"/>
      <c r="N97" s="202"/>
      <c r="O97" s="202"/>
      <c r="P97" s="202"/>
      <c r="Q97" s="240"/>
      <c r="R97" s="201">
        <f>IF($AK95=0,AG151,AG133)</f>
        <v>2</v>
      </c>
      <c r="S97" s="202"/>
      <c r="T97" s="202"/>
      <c r="U97" s="202"/>
      <c r="V97" s="202"/>
      <c r="W97" s="201">
        <f>AQ111</f>
        <v>-4</v>
      </c>
      <c r="X97" s="202"/>
      <c r="Y97" s="202"/>
      <c r="Z97" s="174">
        <f>IF(AF145&gt;0,(AQ111/AF145),0)</f>
        <v>-7.407407407407407E-2</v>
      </c>
      <c r="AA97" s="175"/>
      <c r="AB97" s="175"/>
      <c r="AC97" s="178">
        <f>IF(AF159=0,0,(AF151/AF159))</f>
        <v>0.33333333333333331</v>
      </c>
      <c r="AD97" s="179"/>
      <c r="AE97" s="180"/>
      <c r="AF97" s="184">
        <v>2</v>
      </c>
      <c r="AG97" s="184">
        <v>4</v>
      </c>
      <c r="AH97" s="186">
        <v>5</v>
      </c>
      <c r="AI97" s="187"/>
      <c r="AJ97" s="30"/>
      <c r="AK97" s="27">
        <v>3</v>
      </c>
      <c r="AL97" s="31" t="s">
        <v>45</v>
      </c>
      <c r="AM97" s="28"/>
      <c r="AN97" s="28"/>
      <c r="AO97" s="28"/>
      <c r="AP97" s="28"/>
      <c r="AQ97" s="28"/>
      <c r="AR97" s="29"/>
    </row>
    <row r="98" spans="1:44" ht="18.75" customHeight="1" thickBot="1" x14ac:dyDescent="0.3">
      <c r="A98" s="195"/>
      <c r="B98" s="213" t="s">
        <v>9</v>
      </c>
      <c r="C98" s="214"/>
      <c r="D98" s="214"/>
      <c r="E98" s="215" t="str">
        <f>AV8</f>
        <v>FJ2UNSEL3CR</v>
      </c>
      <c r="F98" s="216"/>
      <c r="G98" s="216"/>
      <c r="H98" s="216"/>
      <c r="I98" s="216"/>
      <c r="J98" s="216"/>
      <c r="K98" s="216"/>
      <c r="L98" s="220"/>
      <c r="M98" s="221"/>
      <c r="N98" s="221"/>
      <c r="O98" s="221"/>
      <c r="P98" s="221"/>
      <c r="Q98" s="240"/>
      <c r="R98" s="220"/>
      <c r="S98" s="221"/>
      <c r="T98" s="221"/>
      <c r="U98" s="221"/>
      <c r="V98" s="221"/>
      <c r="W98" s="220"/>
      <c r="X98" s="221"/>
      <c r="Y98" s="221"/>
      <c r="Z98" s="205"/>
      <c r="AA98" s="206"/>
      <c r="AB98" s="206"/>
      <c r="AC98" s="207"/>
      <c r="AD98" s="208"/>
      <c r="AE98" s="209"/>
      <c r="AF98" s="210"/>
      <c r="AG98" s="210"/>
      <c r="AH98" s="211"/>
      <c r="AI98" s="212"/>
      <c r="AJ98" s="30"/>
      <c r="AK98" s="32"/>
      <c r="AL98" s="33"/>
      <c r="AM98" s="33"/>
      <c r="AN98" s="33"/>
      <c r="AO98" s="33"/>
      <c r="AP98" s="33"/>
      <c r="AQ98" s="26"/>
      <c r="AR98" s="3"/>
    </row>
    <row r="99" spans="1:44" ht="18.75" customHeight="1" x14ac:dyDescent="0.25">
      <c r="A99" s="194" t="str">
        <f>IF($AK94&gt;3,"4","")</f>
        <v>4</v>
      </c>
      <c r="B99" s="196" t="s">
        <v>8</v>
      </c>
      <c r="C99" s="197"/>
      <c r="D99" s="197"/>
      <c r="E99" s="217" t="str">
        <f>AU9</f>
        <v>Kershaw Dev 12 Black</v>
      </c>
      <c r="F99" s="218"/>
      <c r="G99" s="218"/>
      <c r="H99" s="218"/>
      <c r="I99" s="218"/>
      <c r="J99" s="218"/>
      <c r="K99" s="219"/>
      <c r="L99" s="201">
        <f>IF($AK95=0,AF152,AF134)</f>
        <v>1</v>
      </c>
      <c r="M99" s="202"/>
      <c r="N99" s="202"/>
      <c r="O99" s="202"/>
      <c r="P99" s="202"/>
      <c r="Q99" s="240"/>
      <c r="R99" s="201">
        <f>IF($AK95=0,AG152,AG134)</f>
        <v>2</v>
      </c>
      <c r="S99" s="202"/>
      <c r="T99" s="202"/>
      <c r="U99" s="202"/>
      <c r="V99" s="202"/>
      <c r="W99" s="201">
        <f>AQ112</f>
        <v>-12</v>
      </c>
      <c r="X99" s="202"/>
      <c r="Y99" s="202"/>
      <c r="Z99" s="174">
        <f>IF(AF146&gt;0,(AQ112/AF146),0)</f>
        <v>-0.19047619047619047</v>
      </c>
      <c r="AA99" s="175"/>
      <c r="AB99" s="175"/>
      <c r="AC99" s="178">
        <f>IF(AF160=0,0,(AF152/AF160))</f>
        <v>0.33333333333333331</v>
      </c>
      <c r="AD99" s="179"/>
      <c r="AE99" s="180"/>
      <c r="AF99" s="184">
        <v>3</v>
      </c>
      <c r="AG99" s="184">
        <v>4</v>
      </c>
      <c r="AH99" s="186"/>
      <c r="AI99" s="187"/>
      <c r="AJ99" s="6"/>
      <c r="AK99" s="33"/>
      <c r="AL99" s="33"/>
      <c r="AM99" s="33"/>
      <c r="AN99" s="33"/>
      <c r="AO99" s="33"/>
      <c r="AP99" s="33"/>
      <c r="AQ99" s="28"/>
      <c r="AR99" s="29"/>
    </row>
    <row r="100" spans="1:44" ht="18.75" customHeight="1" thickBot="1" x14ac:dyDescent="0.3">
      <c r="A100" s="195"/>
      <c r="B100" s="213" t="s">
        <v>9</v>
      </c>
      <c r="C100" s="214"/>
      <c r="D100" s="214"/>
      <c r="E100" s="215" t="str">
        <f>AV9</f>
        <v>FJ2KERSH3PM</v>
      </c>
      <c r="F100" s="216"/>
      <c r="G100" s="216"/>
      <c r="H100" s="216"/>
      <c r="I100" s="216"/>
      <c r="J100" s="216"/>
      <c r="K100" s="216"/>
      <c r="L100" s="220"/>
      <c r="M100" s="221"/>
      <c r="N100" s="221"/>
      <c r="O100" s="221"/>
      <c r="P100" s="221"/>
      <c r="Q100" s="240"/>
      <c r="R100" s="220"/>
      <c r="S100" s="221"/>
      <c r="T100" s="221"/>
      <c r="U100" s="221"/>
      <c r="V100" s="221"/>
      <c r="W100" s="220"/>
      <c r="X100" s="221"/>
      <c r="Y100" s="221"/>
      <c r="Z100" s="205"/>
      <c r="AA100" s="206"/>
      <c r="AB100" s="206"/>
      <c r="AC100" s="207"/>
      <c r="AD100" s="208"/>
      <c r="AE100" s="209"/>
      <c r="AF100" s="210"/>
      <c r="AG100" s="210"/>
      <c r="AH100" s="211"/>
      <c r="AI100" s="212"/>
      <c r="AJ100" s="6"/>
      <c r="AK100" s="33"/>
      <c r="AL100" s="33"/>
      <c r="AM100" s="33"/>
      <c r="AN100" s="33"/>
      <c r="AO100" s="33"/>
      <c r="AP100" s="33"/>
      <c r="AQ100" s="6"/>
      <c r="AR100" s="3"/>
    </row>
    <row r="101" spans="1:44" ht="18.75" customHeight="1" x14ac:dyDescent="0.25">
      <c r="A101" s="194" t="str">
        <f>IF($AK94&gt;4,"5","")</f>
        <v/>
      </c>
      <c r="B101" s="196" t="s">
        <v>8</v>
      </c>
      <c r="C101" s="197"/>
      <c r="D101" s="197"/>
      <c r="E101" s="198" t="e">
        <f>#REF!</f>
        <v>#REF!</v>
      </c>
      <c r="F101" s="199"/>
      <c r="G101" s="199"/>
      <c r="H101" s="199"/>
      <c r="I101" s="199"/>
      <c r="J101" s="199"/>
      <c r="K101" s="200"/>
      <c r="L101" s="201">
        <f>IF($AK95=0,AF153,AF135)</f>
        <v>0</v>
      </c>
      <c r="M101" s="202"/>
      <c r="N101" s="202"/>
      <c r="O101" s="202"/>
      <c r="P101" s="202"/>
      <c r="Q101" s="240"/>
      <c r="R101" s="201">
        <f>IF($AK95=0,AG153,AG135)</f>
        <v>0</v>
      </c>
      <c r="S101" s="202"/>
      <c r="T101" s="202"/>
      <c r="U101" s="202"/>
      <c r="V101" s="202"/>
      <c r="W101" s="201">
        <f>AQ113</f>
        <v>0</v>
      </c>
      <c r="X101" s="202"/>
      <c r="Y101" s="202"/>
      <c r="Z101" s="174">
        <f>IF(AF147&gt;0,(AQ113/AF147),0)</f>
        <v>0</v>
      </c>
      <c r="AA101" s="175"/>
      <c r="AB101" s="175"/>
      <c r="AC101" s="178">
        <f>IF(AF161=0,0,(AF153/AF161))</f>
        <v>0</v>
      </c>
      <c r="AD101" s="179"/>
      <c r="AE101" s="180"/>
      <c r="AF101" s="184"/>
      <c r="AG101" s="184"/>
      <c r="AH101" s="186"/>
      <c r="AI101" s="187"/>
      <c r="AJ101" s="6"/>
      <c r="AK101" s="33"/>
      <c r="AL101" s="33"/>
      <c r="AM101" s="33"/>
      <c r="AN101" s="33"/>
      <c r="AO101" s="33"/>
      <c r="AP101" s="33"/>
      <c r="AQ101" s="6"/>
      <c r="AR101" s="3"/>
    </row>
    <row r="102" spans="1:44" ht="18.75" customHeight="1" thickBot="1" x14ac:dyDescent="0.3">
      <c r="A102" s="195"/>
      <c r="B102" s="190" t="s">
        <v>9</v>
      </c>
      <c r="C102" s="191"/>
      <c r="D102" s="191"/>
      <c r="E102" s="192" t="e">
        <f>#REF!</f>
        <v>#REF!</v>
      </c>
      <c r="F102" s="193"/>
      <c r="G102" s="193"/>
      <c r="H102" s="193"/>
      <c r="I102" s="193"/>
      <c r="J102" s="193"/>
      <c r="K102" s="193"/>
      <c r="L102" s="203"/>
      <c r="M102" s="204"/>
      <c r="N102" s="204"/>
      <c r="O102" s="204"/>
      <c r="P102" s="204"/>
      <c r="Q102" s="240"/>
      <c r="R102" s="203"/>
      <c r="S102" s="204"/>
      <c r="T102" s="204"/>
      <c r="U102" s="204"/>
      <c r="V102" s="204"/>
      <c r="W102" s="203"/>
      <c r="X102" s="204"/>
      <c r="Y102" s="204"/>
      <c r="Z102" s="176"/>
      <c r="AA102" s="177"/>
      <c r="AB102" s="177"/>
      <c r="AC102" s="181"/>
      <c r="AD102" s="182"/>
      <c r="AE102" s="183"/>
      <c r="AF102" s="185"/>
      <c r="AG102" s="185"/>
      <c r="AH102" s="188"/>
      <c r="AI102" s="189"/>
      <c r="AJ102" s="6"/>
      <c r="AK102" s="33"/>
      <c r="AL102" s="33"/>
      <c r="AM102" s="33"/>
      <c r="AN102" s="33"/>
      <c r="AO102" s="33"/>
      <c r="AP102" s="33"/>
      <c r="AQ102" s="6"/>
      <c r="AR102" s="3"/>
    </row>
    <row r="103" spans="1:44" ht="21" customHeight="1" thickTop="1" thickBot="1" x14ac:dyDescent="0.3">
      <c r="A103" s="34"/>
      <c r="B103" s="171" t="s">
        <v>100</v>
      </c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3"/>
      <c r="AJ103" s="6"/>
      <c r="AK103" s="33"/>
      <c r="AL103" s="33"/>
      <c r="AM103" s="33"/>
      <c r="AN103" s="33"/>
      <c r="AO103" s="33"/>
      <c r="AP103" s="33"/>
      <c r="AQ103" s="6"/>
      <c r="AR103" s="3"/>
    </row>
    <row r="104" spans="1:44" ht="13.8" thickTop="1" x14ac:dyDescent="0.25">
      <c r="A104" s="4" t="s">
        <v>47</v>
      </c>
      <c r="B104" s="160">
        <v>0.13541666666666666</v>
      </c>
      <c r="C104" s="161"/>
      <c r="D104" s="162"/>
      <c r="E104" s="160">
        <v>0.16666666666666666</v>
      </c>
      <c r="F104" s="161"/>
      <c r="G104" s="162"/>
      <c r="H104" s="160">
        <v>0.19791666666666666</v>
      </c>
      <c r="I104" s="161"/>
      <c r="J104" s="162"/>
      <c r="K104" s="160"/>
      <c r="L104" s="161"/>
      <c r="M104" s="162"/>
      <c r="N104" s="160"/>
      <c r="O104" s="161"/>
      <c r="P104" s="162"/>
      <c r="Q104" s="160"/>
      <c r="R104" s="161"/>
      <c r="S104" s="162"/>
      <c r="T104" s="160"/>
      <c r="U104" s="161"/>
      <c r="V104" s="162"/>
      <c r="W104" s="160"/>
      <c r="X104" s="161"/>
      <c r="Y104" s="162"/>
      <c r="Z104" s="160"/>
      <c r="AA104" s="161"/>
      <c r="AB104" s="162"/>
      <c r="AC104" s="160"/>
      <c r="AD104" s="161"/>
      <c r="AE104" s="162"/>
      <c r="AF104" s="163" t="s">
        <v>48</v>
      </c>
      <c r="AG104" s="164"/>
      <c r="AH104" s="164"/>
      <c r="AI104" s="164"/>
      <c r="AJ104" s="165"/>
      <c r="AK104" s="165"/>
      <c r="AL104" s="165"/>
      <c r="AM104" s="165"/>
      <c r="AN104" s="165"/>
      <c r="AO104" s="165"/>
      <c r="AP104" s="165"/>
      <c r="AQ104" s="166"/>
    </row>
    <row r="105" spans="1:44" x14ac:dyDescent="0.25">
      <c r="A105" s="35" t="s">
        <v>49</v>
      </c>
      <c r="B105" s="157"/>
      <c r="C105" s="158"/>
      <c r="D105" s="159"/>
      <c r="E105" s="157"/>
      <c r="F105" s="158"/>
      <c r="G105" s="159"/>
      <c r="H105" s="157"/>
      <c r="I105" s="158"/>
      <c r="J105" s="159"/>
      <c r="K105" s="157"/>
      <c r="L105" s="158"/>
      <c r="M105" s="159"/>
      <c r="N105" s="157"/>
      <c r="O105" s="158"/>
      <c r="P105" s="159"/>
      <c r="Q105" s="157"/>
      <c r="R105" s="158"/>
      <c r="S105" s="159"/>
      <c r="T105" s="157"/>
      <c r="U105" s="158"/>
      <c r="V105" s="159"/>
      <c r="W105" s="157"/>
      <c r="X105" s="158"/>
      <c r="Y105" s="159"/>
      <c r="Z105" s="157"/>
      <c r="AA105" s="158"/>
      <c r="AB105" s="159"/>
      <c r="AC105" s="157"/>
      <c r="AD105" s="158"/>
      <c r="AE105" s="159"/>
      <c r="AF105" s="163"/>
      <c r="AG105" s="164"/>
      <c r="AH105" s="164"/>
      <c r="AI105" s="164"/>
      <c r="AJ105" s="164"/>
      <c r="AK105" s="164"/>
      <c r="AL105" s="164"/>
      <c r="AM105" s="164"/>
      <c r="AN105" s="164"/>
      <c r="AO105" s="164"/>
      <c r="AP105" s="164"/>
      <c r="AQ105" s="167"/>
    </row>
    <row r="106" spans="1:44" x14ac:dyDescent="0.25">
      <c r="A106" s="35" t="s">
        <v>50</v>
      </c>
      <c r="B106" s="157"/>
      <c r="C106" s="158"/>
      <c r="D106" s="159"/>
      <c r="E106" s="157"/>
      <c r="F106" s="158"/>
      <c r="G106" s="159"/>
      <c r="H106" s="157"/>
      <c r="I106" s="158"/>
      <c r="J106" s="159"/>
      <c r="K106" s="157"/>
      <c r="L106" s="158"/>
      <c r="M106" s="159"/>
      <c r="N106" s="157"/>
      <c r="O106" s="158"/>
      <c r="P106" s="159"/>
      <c r="Q106" s="157"/>
      <c r="R106" s="158"/>
      <c r="S106" s="159"/>
      <c r="T106" s="157"/>
      <c r="U106" s="158"/>
      <c r="V106" s="159"/>
      <c r="W106" s="157"/>
      <c r="X106" s="158"/>
      <c r="Y106" s="159"/>
      <c r="Z106" s="157"/>
      <c r="AA106" s="158"/>
      <c r="AB106" s="159"/>
      <c r="AC106" s="157"/>
      <c r="AD106" s="158"/>
      <c r="AE106" s="159"/>
      <c r="AF106" s="163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7"/>
    </row>
    <row r="107" spans="1:44" ht="13.8" thickBot="1" x14ac:dyDescent="0.3">
      <c r="A107" s="6"/>
      <c r="B107" s="154" t="s">
        <v>51</v>
      </c>
      <c r="C107" s="155"/>
      <c r="D107" s="156"/>
      <c r="E107" s="154" t="str">
        <f>IF(AK93&gt;1,"Match 2","")</f>
        <v>Match 2</v>
      </c>
      <c r="F107" s="155"/>
      <c r="G107" s="156"/>
      <c r="H107" s="154" t="str">
        <f>IF(AK93&gt;2,"Match 3","")</f>
        <v>Match 3</v>
      </c>
      <c r="I107" s="155"/>
      <c r="J107" s="156"/>
      <c r="K107" s="154" t="str">
        <f>IF(AK93&gt;3,"Match 4","")</f>
        <v>Match 4</v>
      </c>
      <c r="L107" s="155"/>
      <c r="M107" s="156"/>
      <c r="N107" s="154" t="str">
        <f>IF(AK93&gt;4,"Match 5","")</f>
        <v>Match 5</v>
      </c>
      <c r="O107" s="155"/>
      <c r="P107" s="156"/>
      <c r="Q107" s="154" t="str">
        <f>IF(AK93&gt;5,"Match 6","")</f>
        <v>Match 6</v>
      </c>
      <c r="R107" s="155"/>
      <c r="S107" s="156"/>
      <c r="T107" s="154" t="str">
        <f>IF(AK93&gt;6,"Match 7","")</f>
        <v/>
      </c>
      <c r="U107" s="155"/>
      <c r="V107" s="156"/>
      <c r="W107" s="154" t="str">
        <f>IF(AK93&gt;7,"Match 8","")</f>
        <v/>
      </c>
      <c r="X107" s="155"/>
      <c r="Y107" s="156"/>
      <c r="Z107" s="154" t="str">
        <f>IF(AK93&gt;8,"Match 9","")</f>
        <v/>
      </c>
      <c r="AA107" s="155"/>
      <c r="AB107" s="156"/>
      <c r="AC107" s="154" t="str">
        <f>IF(AK93&gt;9,"Match 10","")</f>
        <v/>
      </c>
      <c r="AD107" s="155"/>
      <c r="AE107" s="156"/>
      <c r="AF107" s="168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70"/>
    </row>
    <row r="108" spans="1:44" ht="15.6" x14ac:dyDescent="0.3">
      <c r="A108" s="6"/>
      <c r="B108" s="147" t="s">
        <v>53</v>
      </c>
      <c r="C108" s="148"/>
      <c r="D108" s="149"/>
      <c r="E108" s="147" t="s">
        <v>52</v>
      </c>
      <c r="F108" s="148"/>
      <c r="G108" s="149"/>
      <c r="H108" s="147" t="s">
        <v>54</v>
      </c>
      <c r="I108" s="148"/>
      <c r="J108" s="149"/>
      <c r="K108" s="147" t="s">
        <v>55</v>
      </c>
      <c r="L108" s="148"/>
      <c r="M108" s="149"/>
      <c r="N108" s="147" t="s">
        <v>52</v>
      </c>
      <c r="O108" s="148"/>
      <c r="P108" s="149"/>
      <c r="Q108" s="147" t="s">
        <v>54</v>
      </c>
      <c r="R108" s="148"/>
      <c r="S108" s="149"/>
      <c r="T108" s="147"/>
      <c r="U108" s="148"/>
      <c r="V108" s="149"/>
      <c r="W108" s="147"/>
      <c r="X108" s="148"/>
      <c r="Y108" s="149"/>
      <c r="Z108" s="147"/>
      <c r="AA108" s="148"/>
      <c r="AB108" s="149"/>
      <c r="AC108" s="147"/>
      <c r="AD108" s="148"/>
      <c r="AE108" s="149"/>
      <c r="AF108" s="36" t="s">
        <v>56</v>
      </c>
      <c r="AG108" s="37">
        <v>1</v>
      </c>
      <c r="AH108" s="37">
        <v>2</v>
      </c>
      <c r="AI108" s="37">
        <v>3</v>
      </c>
      <c r="AJ108" s="37">
        <v>4</v>
      </c>
      <c r="AK108" s="37">
        <v>5</v>
      </c>
      <c r="AL108" s="37">
        <v>6</v>
      </c>
      <c r="AM108" s="37">
        <v>7</v>
      </c>
      <c r="AN108" s="37">
        <v>8</v>
      </c>
      <c r="AO108" s="37">
        <v>9</v>
      </c>
      <c r="AP108" s="37">
        <v>10</v>
      </c>
      <c r="AQ108" s="38" t="s">
        <v>57</v>
      </c>
    </row>
    <row r="109" spans="1:44" ht="15.6" x14ac:dyDescent="0.3">
      <c r="A109" s="6"/>
      <c r="B109" s="39">
        <v>2</v>
      </c>
      <c r="C109" s="40" t="s">
        <v>58</v>
      </c>
      <c r="D109" s="41">
        <v>3</v>
      </c>
      <c r="E109" s="39">
        <v>1</v>
      </c>
      <c r="F109" s="40" t="str">
        <f>IF(AK93&gt;1,"v","")</f>
        <v>v</v>
      </c>
      <c r="G109" s="41">
        <v>4</v>
      </c>
      <c r="H109" s="39">
        <v>2</v>
      </c>
      <c r="I109" s="40" t="str">
        <f>IF(AK93&gt;2,"v","")</f>
        <v>v</v>
      </c>
      <c r="J109" s="41">
        <v>4</v>
      </c>
      <c r="K109" s="39">
        <v>1</v>
      </c>
      <c r="L109" s="40" t="str">
        <f>IF(AK93&gt;3,"v","")</f>
        <v>v</v>
      </c>
      <c r="M109" s="41">
        <v>3</v>
      </c>
      <c r="N109" s="39">
        <v>3</v>
      </c>
      <c r="O109" s="40" t="str">
        <f>IF(AK93&gt;4,"v","")</f>
        <v>v</v>
      </c>
      <c r="P109" s="41">
        <v>4</v>
      </c>
      <c r="Q109" s="39">
        <v>1</v>
      </c>
      <c r="R109" s="40" t="str">
        <f>IF(AK93&gt;5,"v","")</f>
        <v>v</v>
      </c>
      <c r="S109" s="41">
        <v>2</v>
      </c>
      <c r="T109" s="39"/>
      <c r="U109" s="40" t="str">
        <f>IF(AK93&gt;6,"v","")</f>
        <v/>
      </c>
      <c r="V109" s="41"/>
      <c r="W109" s="39"/>
      <c r="X109" s="40" t="str">
        <f>IF(AK93&gt;7,"v","")</f>
        <v/>
      </c>
      <c r="Y109" s="41"/>
      <c r="Z109" s="39"/>
      <c r="AA109" s="40" t="str">
        <f>IF(AK93&gt;8,"v","")</f>
        <v/>
      </c>
      <c r="AB109" s="41"/>
      <c r="AC109" s="39"/>
      <c r="AD109" s="40" t="str">
        <f>IF(AK93&gt;9,"v","")</f>
        <v/>
      </c>
      <c r="AE109" s="41"/>
      <c r="AF109" s="36" t="str">
        <f>IF(AK94&gt;0,"Team 1","")</f>
        <v>Team 1</v>
      </c>
      <c r="AG109" s="42" t="str">
        <f>IF(AK94&lt;1,"",IF(AK93&lt;1,"",IF(B109=1,B115-D115,IF(D109=1,D115-B115,""))))</f>
        <v/>
      </c>
      <c r="AH109" s="42">
        <f>IF(AK94&lt;1,"",IF(AK93&lt;2,"",IF(E109=1,E115-G115,IF(G109=1,G115-E115,""))))</f>
        <v>4</v>
      </c>
      <c r="AI109" s="42" t="str">
        <f>IF(AK94&lt;1,"",IF(AK93&lt;3,"",IF(H109=1,H115-J115,IF(J109=1,J115-H115,""))))</f>
        <v/>
      </c>
      <c r="AJ109" s="42">
        <f>IF(AK94&lt;1,"",IF(AK93&lt;4,"",IF(K109=1,K115-M115,IF(M109=1,M115-K115,""))))</f>
        <v>-3</v>
      </c>
      <c r="AK109" s="42" t="str">
        <f>IF(AK94&lt;1,"",IF(AK93&lt;5,"",IF(N109=1,N115-P115,IF(P109=1,P115-N115,""))))</f>
        <v/>
      </c>
      <c r="AL109" s="42">
        <f>IF(AK94&lt;1,"",IF(AK93&lt;6,"",IF(Q109=1,Q115-S115,IF(S109=1,S115-Q115,""))))</f>
        <v>-19</v>
      </c>
      <c r="AM109" s="42" t="str">
        <f>IF(AK94&lt;1,"",IF(AK93&lt;7,"",IF(T109=1,T115-V115,IF(V109=1,V115-T115,""))))</f>
        <v/>
      </c>
      <c r="AN109" s="42" t="str">
        <f>IF(AK94&lt;1,"",IF(AK93&lt;8,"",IF(W109=1,W115-Y115,IF(Y109=1,Y115-W115,""))))</f>
        <v/>
      </c>
      <c r="AO109" s="42" t="str">
        <f>IF(AK94&lt;1,"",IF(AK93&lt;9,"",IF(Z109=1,Z115-AB115,IF(AB109=1,AB115-Z115,""))))</f>
        <v/>
      </c>
      <c r="AP109" s="42" t="str">
        <f>IF(AK94&lt;1,"",IF(AK93&lt;10,"",IF(AC109=1,AC115-AE115,IF(AE109=1,AE115-AC115,""))))</f>
        <v/>
      </c>
      <c r="AQ109" s="38">
        <f>SUM(AG109:AP109)</f>
        <v>-18</v>
      </c>
    </row>
    <row r="110" spans="1:44" ht="15" x14ac:dyDescent="0.25">
      <c r="A110" s="4" t="s">
        <v>59</v>
      </c>
      <c r="B110" s="43">
        <v>19</v>
      </c>
      <c r="C110" s="44" t="s">
        <v>60</v>
      </c>
      <c r="D110" s="45">
        <v>15</v>
      </c>
      <c r="E110" s="43">
        <v>23</v>
      </c>
      <c r="F110" s="44" t="str">
        <f>IF(AK93&gt;1,"/","")</f>
        <v>/</v>
      </c>
      <c r="G110" s="45">
        <v>19</v>
      </c>
      <c r="H110" s="43">
        <v>23</v>
      </c>
      <c r="I110" s="44" t="str">
        <f>IF(AK93&gt;2,"/","")</f>
        <v>/</v>
      </c>
      <c r="J110" s="45">
        <v>12</v>
      </c>
      <c r="K110" s="43">
        <v>15</v>
      </c>
      <c r="L110" s="44" t="str">
        <f>IF(AK93&gt;3,"/","")</f>
        <v>/</v>
      </c>
      <c r="M110" s="45">
        <v>18</v>
      </c>
      <c r="N110" s="43">
        <v>14</v>
      </c>
      <c r="O110" s="44" t="str">
        <f>IF(AK93&gt;4,"/","")</f>
        <v>/</v>
      </c>
      <c r="P110" s="45">
        <v>17</v>
      </c>
      <c r="Q110" s="43">
        <v>9</v>
      </c>
      <c r="R110" s="44" t="str">
        <f>IF(AK93&gt;5,"/","")</f>
        <v>/</v>
      </c>
      <c r="S110" s="45">
        <v>28</v>
      </c>
      <c r="T110" s="43"/>
      <c r="U110" s="44" t="str">
        <f>IF(AK93&gt;6,"/","")</f>
        <v/>
      </c>
      <c r="V110" s="45"/>
      <c r="W110" s="43"/>
      <c r="X110" s="44" t="str">
        <f>IF(AK93&gt;7,"/","")</f>
        <v/>
      </c>
      <c r="Y110" s="45"/>
      <c r="Z110" s="43"/>
      <c r="AA110" s="44" t="str">
        <f>IF(AK93&gt;8,"/","")</f>
        <v/>
      </c>
      <c r="AB110" s="45"/>
      <c r="AC110" s="43"/>
      <c r="AD110" s="44" t="str">
        <f>IF(AK93&gt;9,"/","")</f>
        <v/>
      </c>
      <c r="AE110" s="45"/>
      <c r="AF110" s="36" t="str">
        <f>IF(AK94&gt;1,"Team 2","")</f>
        <v>Team 2</v>
      </c>
      <c r="AG110" s="42">
        <f>IF(AK94&lt;2,"",IF(AK93&lt;1,"",IF(B109=2,B115-D115,IF(D109=2,D115-B115,""))))</f>
        <v>4</v>
      </c>
      <c r="AH110" s="42" t="str">
        <f>IF(AK94&lt;2,"",IF(AK93&lt;2,"",IF(E109=2,E115-G115,IF(G109=2,G115-E115,""))))</f>
        <v/>
      </c>
      <c r="AI110" s="42">
        <f>IF(AK94&lt;2,"",IF(AK93&lt;3,"",IF(H109=2,H115-J115,IF(J109=2,J115-H115,""))))</f>
        <v>11</v>
      </c>
      <c r="AJ110" s="42" t="str">
        <f>IF(AK94&lt;2,"",IF(AK93&lt;4,"",IF(K109=2,K115-M115,IF(M109=2,M115-K115,""))))</f>
        <v/>
      </c>
      <c r="AK110" s="42" t="str">
        <f>IF(AK94&lt;2,"",IF(AK93&lt;5,"",IF(N109=2,N115-P115,IF(P109=2,P115-N115,""))))</f>
        <v/>
      </c>
      <c r="AL110" s="42">
        <f>IF(AK94&lt;2,"",IF(AK93&lt;6,"",IF(Q109=2,Q115-S115,IF(S109=2,S115-Q115,""))))</f>
        <v>19</v>
      </c>
      <c r="AM110" s="42" t="str">
        <f>IF(AK94&lt;2,"",IF(AK93&lt;7,"",IF(T109=2,T115-V115,IF(V109=2,V115-T115,""))))</f>
        <v/>
      </c>
      <c r="AN110" s="42" t="str">
        <f>IF(AK94&lt;2,"",IF(AK93&lt;8,"",IF(W109=2,W115-Y115,IF(Y109=2,Y115-W115,""))))</f>
        <v/>
      </c>
      <c r="AO110" s="42" t="str">
        <f>IF(AK94&lt;2,"",IF(AK93&lt;9,"",IF(Z109=2,Z115-AB115,IF(AB109=2,AB115-Z115,""))))</f>
        <v/>
      </c>
      <c r="AP110" s="42" t="str">
        <f>IF(AK94&lt;2,"",IF(AK93&lt;10,"",IF(AC109=2,AC115-AE115,IF(AE109=2,AE115-AC115,""))))</f>
        <v/>
      </c>
      <c r="AQ110" s="38">
        <f>SUM(AG110:AP110)</f>
        <v>34</v>
      </c>
    </row>
    <row r="111" spans="1:44" ht="15" x14ac:dyDescent="0.25">
      <c r="A111" s="3" t="str">
        <f>IF(AK92&gt;1,"Game 2","")</f>
        <v/>
      </c>
      <c r="B111" s="43"/>
      <c r="C111" s="44" t="s">
        <v>60</v>
      </c>
      <c r="D111" s="45"/>
      <c r="E111" s="43"/>
      <c r="F111" s="44" t="str">
        <f>IF(AK93&gt;1,IF(AK92&gt;1,"/",""),"")</f>
        <v/>
      </c>
      <c r="G111" s="45"/>
      <c r="H111" s="43"/>
      <c r="I111" s="44" t="str">
        <f>IF(AK93&gt;2,IF(AK92&gt;1,"/",""),"")</f>
        <v/>
      </c>
      <c r="J111" s="45"/>
      <c r="K111" s="43"/>
      <c r="L111" s="44" t="str">
        <f>IF(AK93&gt;3,IF(AK92&gt;1,"/",""),"")</f>
        <v/>
      </c>
      <c r="M111" s="45"/>
      <c r="N111" s="43"/>
      <c r="O111" s="44" t="str">
        <f>IF(AK93&gt;4,IF(AK92&gt;1,"/",""),"")</f>
        <v/>
      </c>
      <c r="P111" s="45"/>
      <c r="Q111" s="43"/>
      <c r="R111" s="44" t="str">
        <f>IF(AK93&gt;5,IF(AK92&gt;1,"/",""),"")</f>
        <v/>
      </c>
      <c r="S111" s="45"/>
      <c r="T111" s="43"/>
      <c r="U111" s="44" t="str">
        <f>IF(AK93&gt;6,IF(AK92&gt;1,"/",""),"")</f>
        <v/>
      </c>
      <c r="V111" s="45"/>
      <c r="W111" s="43"/>
      <c r="X111" s="44" t="str">
        <f>IF(AK93&gt;7,IF(AK92&gt;1,"/",""),"")</f>
        <v/>
      </c>
      <c r="Y111" s="45"/>
      <c r="Z111" s="43"/>
      <c r="AA111" s="44" t="str">
        <f>IF(AK93&gt;8,IF(AK92&gt;1,"/",""),"")</f>
        <v/>
      </c>
      <c r="AB111" s="45"/>
      <c r="AC111" s="43"/>
      <c r="AD111" s="44" t="str">
        <f>IF(AK93&gt;9,IF(AK92&gt;1,"/",""),"")</f>
        <v/>
      </c>
      <c r="AE111" s="45"/>
      <c r="AF111" s="36" t="str">
        <f>IF(AK94&gt;2,"Team 3","")</f>
        <v>Team 3</v>
      </c>
      <c r="AG111" s="42">
        <f>IF(AK94&lt;3,"",IF(AK93&lt;1,"",IF(B109=3,B115-D115,IF(D109=3,D115-B115,""))))</f>
        <v>-4</v>
      </c>
      <c r="AH111" s="42" t="str">
        <f>IF(AK94&lt;3,"",IF(AK93&lt;2,"",IF(E109=3,E115-G115,IF(G109=3,G115-E115,""))))</f>
        <v/>
      </c>
      <c r="AI111" s="42" t="str">
        <f>IF(AK94&lt;3,"",IF(AK93&lt;3,"",IF(H109=3,H115-J115,IF(J109=3,J115-H115,""))))</f>
        <v/>
      </c>
      <c r="AJ111" s="42">
        <f>IF(AK94&lt;3,"",IF(AK93&lt;4,"",IF(K109=3,K115-M115,IF(M109=3,M115-K115,""))))</f>
        <v>3</v>
      </c>
      <c r="AK111" s="42">
        <f>IF(AK94&lt;3,"",IF(AK93&lt;5,"",IF(N109=3,N115-P115,IF(P109=3,P115-N115,""))))</f>
        <v>-3</v>
      </c>
      <c r="AL111" s="42" t="str">
        <f>IF(AK94&lt;3,"",IF(AK93&lt;6,"",IF(Q109=3,Q115-S115,IF(S109=3,S115-Q115,""))))</f>
        <v/>
      </c>
      <c r="AM111" s="42" t="str">
        <f>IF(AK94&lt;3,"",IF(AK93&lt;7,"",IF(T109=3,T115-V115,IF(V109=3,V115-T115,""))))</f>
        <v/>
      </c>
      <c r="AN111" s="42" t="str">
        <f>IF(AK94&lt;3,"",IF(AK93&lt;8,"",IF(W109=3,W115-Y115,IF(Y109=3,Y115-W115,""))))</f>
        <v/>
      </c>
      <c r="AO111" s="42" t="str">
        <f>IF(AK94&lt;3,"",IF(AK93&lt;9,"",IF(Z109=3,Z115-AB115,IF(AB109=3,AB115-Z115,""))))</f>
        <v/>
      </c>
      <c r="AP111" s="42" t="str">
        <f>IF(AK94&lt;3,"",IF(AK93&lt;9,"",IF(AC109=3,AC115-AE115,IF(AE109=3,AE115-AC115,""))))</f>
        <v/>
      </c>
      <c r="AQ111" s="38">
        <f>SUM(AG111:AP111)</f>
        <v>-4</v>
      </c>
    </row>
    <row r="112" spans="1:44" ht="15" x14ac:dyDescent="0.25">
      <c r="A112" s="3" t="str">
        <f>IF(AK92&gt;2,"Game 3","")</f>
        <v/>
      </c>
      <c r="B112" s="43"/>
      <c r="C112" s="44" t="s">
        <v>60</v>
      </c>
      <c r="D112" s="45"/>
      <c r="E112" s="43"/>
      <c r="F112" s="44" t="str">
        <f>IF(AK93&gt;1,IF(AK92&gt;2,"/",""),"")</f>
        <v/>
      </c>
      <c r="G112" s="45"/>
      <c r="H112" s="43"/>
      <c r="I112" s="44" t="str">
        <f>IF(AK93&gt;2,IF(AK92&gt;2,"/",""),"")</f>
        <v/>
      </c>
      <c r="J112" s="45"/>
      <c r="K112" s="43"/>
      <c r="L112" s="44" t="str">
        <f>IF(AK93&gt;3,IF(AK92&gt;2,"/",""),"")</f>
        <v/>
      </c>
      <c r="M112" s="45"/>
      <c r="N112" s="43"/>
      <c r="O112" s="44" t="str">
        <f>IF(AK93&gt;4,IF(AK92&gt;2,"/",""),"")</f>
        <v/>
      </c>
      <c r="P112" s="45"/>
      <c r="Q112" s="43"/>
      <c r="R112" s="44" t="str">
        <f>IF(AK93&gt;5,IF(AK92&gt;2,"/",""),"")</f>
        <v/>
      </c>
      <c r="S112" s="45"/>
      <c r="T112" s="43"/>
      <c r="U112" s="44" t="str">
        <f>IF(AK93&gt;6,IF(AK92&gt;2,"/",""),"")</f>
        <v/>
      </c>
      <c r="V112" s="45"/>
      <c r="W112" s="43"/>
      <c r="X112" s="44" t="str">
        <f>IF(AK93&gt;7,IF(AK92&gt;2,"/",""),"")</f>
        <v/>
      </c>
      <c r="Y112" s="45"/>
      <c r="Z112" s="43"/>
      <c r="AA112" s="44" t="str">
        <f>IF(AK93&gt;8,IF(AK92&gt;2,"/",""),"")</f>
        <v/>
      </c>
      <c r="AB112" s="45"/>
      <c r="AC112" s="43"/>
      <c r="AD112" s="44" t="str">
        <f>IF(AK93&gt;9,IF(AK92&gt;2,"/",""),"")</f>
        <v/>
      </c>
      <c r="AE112" s="45"/>
      <c r="AF112" s="36" t="str">
        <f>IF(AK94&gt;3,"Team 4","")</f>
        <v>Team 4</v>
      </c>
      <c r="AG112" s="42" t="str">
        <f>IF(AK94&lt;4,"",IF(AK93&lt;1,"",IF(B109=4,B115-D115,IF(D109=4,D115-B115,""))))</f>
        <v/>
      </c>
      <c r="AH112" s="42">
        <f>IF(AK94&lt;4,"",IF(AK93&lt;2,"",IF(E109=4,E115-G115,IF(G109=4,G115-E115,""))))</f>
        <v>-4</v>
      </c>
      <c r="AI112" s="42">
        <f>IF(AK94&lt;4,"",IF(AK93&lt;3,"",IF(H109=4,H115-J115,IF(J109=4,J115-H115,""))))</f>
        <v>-11</v>
      </c>
      <c r="AJ112" s="42" t="str">
        <f>IF(AK94&lt;4,"",IF(AK93&lt;4,"",IF(K109=4,K115-M115,IF(M109=4,M115-K115,""))))</f>
        <v/>
      </c>
      <c r="AK112" s="42">
        <f>IF(AK94&lt;4,"",IF(AK93&lt;5,"",IF(N109=4,N115-P115,IF(P109=4,P115-N115,""))))</f>
        <v>3</v>
      </c>
      <c r="AL112" s="42" t="str">
        <f>IF(AK94&lt;4,"",IF(AK93&lt;6,"",IF(Q109=4,Q115-S115,IF(S109=4,S115-Q115,""))))</f>
        <v/>
      </c>
      <c r="AM112" s="42" t="str">
        <f>IF(AK94&lt;4,"",IF(AK93&lt;7,"",IF(T109=4,T115-V115,IF(V109=4,V115-T115,""))))</f>
        <v/>
      </c>
      <c r="AN112" s="42" t="str">
        <f>IF(AK94&lt;4,"",IF(AK93&lt;8,"",IF(W109=4,W115-Y115,IF(Y109=4,Y115-W115,""))))</f>
        <v/>
      </c>
      <c r="AO112" s="42" t="str">
        <f>IF(AK94&lt;4,"",IF(AK93&lt;9,"",IF(Z109=4,Z115-AB115,IF(AB109=4,AB115-Z115,""))))</f>
        <v/>
      </c>
      <c r="AP112" s="42" t="str">
        <f>IF(AK94&lt;4,"",IF(AK93&lt;10,"",IF(AC109=4,AC115-AE115,IF(AE109=4,AE115-AC115,""))))</f>
        <v/>
      </c>
      <c r="AQ112" s="38">
        <f>SUM(AG112:AP112)</f>
        <v>-12</v>
      </c>
    </row>
    <row r="113" spans="1:43" ht="15" x14ac:dyDescent="0.25">
      <c r="A113" s="3" t="str">
        <f>IF(AK92&gt;3,"Game 4","")</f>
        <v/>
      </c>
      <c r="B113" s="43"/>
      <c r="C113" s="44" t="s">
        <v>60</v>
      </c>
      <c r="D113" s="45"/>
      <c r="E113" s="43"/>
      <c r="F113" s="44" t="str">
        <f>IF(AK93&gt;1,IF(AK92&gt;3,"/",""),"")</f>
        <v/>
      </c>
      <c r="G113" s="45"/>
      <c r="H113" s="43"/>
      <c r="I113" s="44" t="str">
        <f>IF(AK93&gt;2,IF(AK92&gt;3,"/",""),"")</f>
        <v/>
      </c>
      <c r="J113" s="45"/>
      <c r="K113" s="43"/>
      <c r="L113" s="44" t="str">
        <f>IF(AK93&gt;3,IF(AK92&gt;3,"/",""),"")</f>
        <v/>
      </c>
      <c r="M113" s="45"/>
      <c r="N113" s="43"/>
      <c r="O113" s="44" t="str">
        <f>IF(AK93&gt;4,IF(AK92&gt;3,"/",""),"")</f>
        <v/>
      </c>
      <c r="P113" s="45"/>
      <c r="Q113" s="43"/>
      <c r="R113" s="44" t="str">
        <f>IF(AK93&gt;5,IF(AK92&gt;3,"/",""),"")</f>
        <v/>
      </c>
      <c r="S113" s="45"/>
      <c r="T113" s="43"/>
      <c r="U113" s="44" t="str">
        <f>IF(AK93&gt;6,IF(AK92&gt;3,"/",""),"")</f>
        <v/>
      </c>
      <c r="V113" s="45"/>
      <c r="W113" s="43"/>
      <c r="X113" s="44" t="str">
        <f>IF(AK93&gt;7,IF(AK92&gt;3,"/",""),"")</f>
        <v/>
      </c>
      <c r="Y113" s="45"/>
      <c r="Z113" s="43"/>
      <c r="AA113" s="44" t="str">
        <f>IF(AK93&gt;8,IF(AK92&gt;3,"/",""),"")</f>
        <v/>
      </c>
      <c r="AB113" s="45"/>
      <c r="AC113" s="43"/>
      <c r="AD113" s="44" t="str">
        <f>IF(AK93&gt;9,IF(AK92&gt;3,"/",""),"")</f>
        <v/>
      </c>
      <c r="AE113" s="45"/>
      <c r="AF113" s="36" t="str">
        <f>IF(AK94&gt;4,"Team 5","")</f>
        <v/>
      </c>
      <c r="AG113" s="46" t="str">
        <f>IF(AK94&lt;5,"",IF(AK93&lt;1,"",IF(B109=5,B115-D115,IF(D109=5,D115-B115,""))))</f>
        <v/>
      </c>
      <c r="AH113" s="42" t="str">
        <f>IF(AK94&lt;5,"",IF(AK93&lt;2,"",IF(E109=5,E115-G115,IF(G109=5,G115-E115,""))))</f>
        <v/>
      </c>
      <c r="AI113" s="42" t="str">
        <f>IF(AK94&lt;5,"",IF(AK93&lt;3,"",IF(H109=5,H115-J115,IF(J109=5,J115-H115,""))))</f>
        <v/>
      </c>
      <c r="AJ113" s="42" t="str">
        <f>IF(AK94&lt;5,"",IF(AK93&lt;4,"",IF(K109=5,K115-M115,IF(M109=5,M115-K115,""))))</f>
        <v/>
      </c>
      <c r="AK113" s="42" t="str">
        <f>IF(AK94&lt;5,"",IF(AK93&lt;5,"",IF(N109=5,N115-P115,IF(P109=5,P115-N115,""))))</f>
        <v/>
      </c>
      <c r="AL113" s="42" t="str">
        <f>IF(AK94&lt;5,"",IF(AK93&lt;6,"",IF(Q109=5,Q115-S115,IF(S109=5,S115-Q115,""))))</f>
        <v/>
      </c>
      <c r="AM113" s="42" t="str">
        <f>IF(AK94&lt;5,"",IF(AK93&lt;7,"",IF(T109=5,T115-V115,IF(V109=5,V115-T115,""))))</f>
        <v/>
      </c>
      <c r="AN113" s="42" t="str">
        <f>IF(AK94&lt;5,"",IF(AK93&lt;8,"",IF(W109=5,W115-Y115,IF(Y109=5,Y115-W115,""))))</f>
        <v/>
      </c>
      <c r="AO113" s="42" t="str">
        <f>IF(AK94&lt;5,"",IF(AK93&lt;9,"",IF(Z109=5,Z115-AB115,IF(AB109=5,AB115-Z115,""))))</f>
        <v/>
      </c>
      <c r="AP113" s="42" t="str">
        <f>IF(AK94&lt;5,"",IF(AK93&lt;10,"",IF(AC109=5,AC115-AE115,IF(AE109=5,AE115-AC115,""))))</f>
        <v/>
      </c>
      <c r="AQ113" s="38">
        <f>SUM(AG113:AP113)</f>
        <v>0</v>
      </c>
    </row>
    <row r="114" spans="1:43" ht="15" x14ac:dyDescent="0.25">
      <c r="A114" s="3" t="str">
        <f>IF(AK92&gt;4,"Game 5","")</f>
        <v/>
      </c>
      <c r="B114" s="43"/>
      <c r="C114" s="44" t="s">
        <v>60</v>
      </c>
      <c r="D114" s="45"/>
      <c r="E114" s="43"/>
      <c r="F114" s="44" t="str">
        <f>IF(AK93&gt;1,IF(AK92&gt;4,"/",""),"")</f>
        <v/>
      </c>
      <c r="G114" s="45"/>
      <c r="H114" s="43"/>
      <c r="I114" s="44" t="str">
        <f>IF(AK93&gt;2,IF(AK92&gt;4,"/",""),"")</f>
        <v/>
      </c>
      <c r="J114" s="45"/>
      <c r="K114" s="43"/>
      <c r="L114" s="44" t="str">
        <f>IF(AK93&gt;3,IF(AK92&gt;4,"/",""),"")</f>
        <v/>
      </c>
      <c r="M114" s="45"/>
      <c r="N114" s="43"/>
      <c r="O114" s="44" t="str">
        <f>IF(AK93&gt;4,IF(AK92&gt;4,"/",""),"")</f>
        <v/>
      </c>
      <c r="P114" s="45"/>
      <c r="Q114" s="43"/>
      <c r="R114" s="44" t="str">
        <f>IF(AK93&gt;5,IF(AK92&gt;4,"/",""),"")</f>
        <v/>
      </c>
      <c r="S114" s="45"/>
      <c r="T114" s="43"/>
      <c r="U114" s="44" t="str">
        <f>IF(AK93&gt;6,IF(AK92&gt;4,"/",""),"")</f>
        <v/>
      </c>
      <c r="V114" s="45"/>
      <c r="W114" s="43"/>
      <c r="X114" s="44" t="str">
        <f>IF(AK93&gt;7,IF(AK92&gt;4,"/",""),"")</f>
        <v/>
      </c>
      <c r="Y114" s="45"/>
      <c r="Z114" s="43"/>
      <c r="AA114" s="44" t="str">
        <f>IF(AK93&gt;8,IF(AK92&gt;4,"/",""),"")</f>
        <v/>
      </c>
      <c r="AB114" s="45"/>
      <c r="AC114" s="43"/>
      <c r="AD114" s="44" t="str">
        <f>IF(AK93&gt;9,IF(AK92&gt;4,"/",""),"")</f>
        <v/>
      </c>
      <c r="AE114" s="45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spans="1:43" x14ac:dyDescent="0.25">
      <c r="A115" s="47"/>
      <c r="B115" s="47">
        <f>IF($AK92=5,SUM(B110:B114),IF($AK92=4,SUM(B110:B113),IF($AK92=3,SUM(B110:B112),IF($AK92=2,SUM(B110:B111),B110))))</f>
        <v>19</v>
      </c>
      <c r="C115" s="47"/>
      <c r="D115" s="47">
        <f>IF($AK92=5,SUM(D110:D114),IF($AK92=4,SUM(D110:D113),IF($AK92=3,SUM(D110:D112),IF($AK92=2,SUM(D110:D111),D110))))</f>
        <v>15</v>
      </c>
      <c r="E115" s="47">
        <f>IF($AK92=5,SUM(E110:E114),IF($AK92=4,SUM(E110:E113),IF($AK92=3,SUM(E110:E112),IF($AK92=2,SUM(E110:E111),E110))))</f>
        <v>23</v>
      </c>
      <c r="F115" s="47"/>
      <c r="G115" s="47">
        <f>IF($AK92=5,SUM(G110:G114),IF($AK92=4,SUM(G110:G113),IF($AK92=3,SUM(G110:G112),IF($AK92=2,SUM(G110:G111),G110))))</f>
        <v>19</v>
      </c>
      <c r="H115" s="47">
        <f>IF($AK92=5,SUM(H110:H114),IF($AK92=4,SUM(H110:H113),IF($AK92=3,SUM(H110:H112),IF($AK92=2,SUM(H110:H111),H110))))</f>
        <v>23</v>
      </c>
      <c r="I115" s="47"/>
      <c r="J115" s="47">
        <f>IF($AK92=5,SUM(J110:J114),IF($AK92=4,SUM(J110:J113),IF($AK92=3,SUM(J110:J112),IF($AK92=2,SUM(J110:J111),J110))))</f>
        <v>12</v>
      </c>
      <c r="K115" s="47">
        <f>IF($AK92=5,SUM(K110:K114),IF($AK92=4,SUM(K110:K113),IF($AK92=3,SUM(K110:K112),IF($AK92=2,SUM(K110:K111),K110))))</f>
        <v>15</v>
      </c>
      <c r="L115" s="47"/>
      <c r="M115" s="47">
        <f>IF($AK92=5,SUM(M110:M114),IF($AK92=4,SUM(M110:M113),IF($AK92=3,SUM(M110:M112),IF($AK92=2,SUM(M110:M111),M110))))</f>
        <v>18</v>
      </c>
      <c r="N115" s="47">
        <f>IF($AK92=5,SUM(N110:N114),IF($AK92=4,SUM(N110:N113),IF($AK92=3,SUM(N110:N112),IF($AK92=2,SUM(N110:N111),N110))))</f>
        <v>14</v>
      </c>
      <c r="O115" s="47"/>
      <c r="P115" s="47">
        <f>IF($AK92=5,SUM(P110:P114),IF($AK92=4,SUM(P110:P113),IF($AK92=3,SUM(P110:P112),IF($AK92=2,SUM(P110:P111),P110))))</f>
        <v>17</v>
      </c>
      <c r="Q115" s="47">
        <f>IF($AK92=5,SUM(Q110:Q114),IF($AK92=4,SUM(Q110:Q113),IF($AK92=3,SUM(Q110:Q112),IF($AK92=2,SUM(Q110:Q111),Q110))))</f>
        <v>9</v>
      </c>
      <c r="R115" s="47"/>
      <c r="S115" s="47">
        <f>IF($AK92=5,SUM(S110:S114),IF($AK92=4,SUM(S110:S113),IF($AK92=3,SUM(S110:S112),IF($AK92=2,SUM(S110:S111),S110))))</f>
        <v>28</v>
      </c>
      <c r="T115" s="47">
        <f>IF($AK92=5,SUM(T110:T114),IF($AK92=4,SUM(T110:T113),IF($AK92=3,SUM(T110:T112),IF($AK92=2,SUM(T110:T111),T110))))</f>
        <v>0</v>
      </c>
      <c r="U115" s="47"/>
      <c r="V115" s="47">
        <f>IF($AK92=5,SUM(V110:V114),IF($AK92=4,SUM(V110:V113),IF($AK92=3,SUM(V110:V112),IF($AK92=2,SUM(V110:V111),V110))))</f>
        <v>0</v>
      </c>
      <c r="W115" s="47">
        <f>IF($AK92=5,SUM(W110:W114),IF($AK92=4,SUM(W110:W113),IF($AK92=3,SUM(W110:W112),IF($AK92=2,SUM(W110:W111),W110))))</f>
        <v>0</v>
      </c>
      <c r="X115" s="47"/>
      <c r="Y115" s="47">
        <f>IF($AK92=5,SUM(Y110:Y114),IF($AK92=4,SUM(Y110:Y113),IF($AK92=3,SUM(Y110:Y112),IF($AK92=2,SUM(Y110:Y111),Y110))))</f>
        <v>0</v>
      </c>
      <c r="Z115" s="47">
        <f>IF($AK92=5,SUM(Z110:Z114),IF($AK92=4,SUM(Z110:Z113),IF($AK92=3,SUM(Z110:Z112),IF($AK92=2,SUM(Z110:Z111),Z110))))</f>
        <v>0</v>
      </c>
      <c r="AA115" s="47"/>
      <c r="AB115" s="47">
        <f>IF($AK92=5,SUM(AB110:AB114),IF($AK92=4,SUM(AB110:AB113),IF($AK92=3,SUM(AB110:AB112),IF($AK92=2,SUM(AB110:AB111),AB110))))</f>
        <v>0</v>
      </c>
      <c r="AC115" s="47">
        <f>IF($AK92=5,SUM(AC110:AC114),IF($AK92=4,SUM(AC110:AC113),IF($AK92=3,SUM(AC110:AC112),IF($AK92=2,SUM(AC110:AC111),AC110))))</f>
        <v>0</v>
      </c>
      <c r="AD115" s="47"/>
      <c r="AE115" s="47">
        <f>IF($AK92=5,SUM(AE110:AE114),IF($AK92=4,SUM(AE110:AE113),IF($AK92=3,SUM(AE110:AE112),IF($AK92=2,SUM(AE110:AE111),AE110))))</f>
        <v>0</v>
      </c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</row>
    <row r="116" spans="1:43" s="48" customFormat="1" ht="12.75" customHeight="1" x14ac:dyDescent="0.25">
      <c r="A116" s="48" t="s">
        <v>61</v>
      </c>
      <c r="B116" s="49">
        <f>IF(AND(B110&gt;D110,$AK93&gt;0,ISNUMBER(B110),ISNUMBER(D110)),1,0)</f>
        <v>1</v>
      </c>
      <c r="C116" s="49"/>
      <c r="D116" s="50">
        <f>IF(AND(D110&gt;B110,$AK93&gt;0,ISNUMBER(B110),ISNUMBER(D110)),1,0)</f>
        <v>0</v>
      </c>
      <c r="E116" s="49">
        <f>IF(AND(E110&gt;G110,$AK93&gt;1,ISNUMBER(E110),ISNUMBER(G110)),1,0)</f>
        <v>1</v>
      </c>
      <c r="F116" s="49"/>
      <c r="G116" s="50">
        <f>IF(AND(G110&gt;E110,$AK93&gt;1,ISNUMBER(E110),ISNUMBER(G110)),1,0)</f>
        <v>0</v>
      </c>
      <c r="H116" s="49">
        <f>IF(AND(H110&gt;J110,$AK93&gt;2,ISNUMBER(H110),ISNUMBER(J110)),1,0)</f>
        <v>1</v>
      </c>
      <c r="I116" s="49"/>
      <c r="J116" s="50">
        <f>IF(AND(J110&gt;H110,$AK93&gt;2,ISNUMBER(H110),ISNUMBER(J110)),1,0)</f>
        <v>0</v>
      </c>
      <c r="K116" s="49">
        <f>IF(AND(K110&gt;M110,$AK93&gt;3,ISNUMBER(K110),ISNUMBER(M110)),1,0)</f>
        <v>0</v>
      </c>
      <c r="L116" s="49"/>
      <c r="M116" s="50">
        <f>IF(AND(M110&gt;K110,$AK93&gt;3,ISNUMBER(K110),ISNUMBER(M110)),1,0)</f>
        <v>1</v>
      </c>
      <c r="N116" s="49">
        <f>IF(AND(N110&gt;P110,$AK93&gt;4,ISNUMBER(N110),ISNUMBER(P110)),1,0)</f>
        <v>0</v>
      </c>
      <c r="O116" s="49"/>
      <c r="P116" s="50">
        <f>IF(AND(P110&gt;N110,$AK93&gt;4,ISNUMBER(N110),ISNUMBER(P110)),1,0)</f>
        <v>1</v>
      </c>
      <c r="Q116" s="49">
        <f>IF(AND(Q110&gt;S110,$AK93&gt;5,ISNUMBER(Q110),ISNUMBER(S110)),1,0)</f>
        <v>0</v>
      </c>
      <c r="R116" s="49"/>
      <c r="S116" s="50">
        <f>IF(AND(S110&gt;Q110,$AK93&gt;5,ISNUMBER(Q110),ISNUMBER(S110)),1,0)</f>
        <v>1</v>
      </c>
      <c r="T116" s="49">
        <f>IF(AND(T110&gt;V110,$AK93&gt;6,ISNUMBER(T110),ISNUMBER(V110)),1,0)</f>
        <v>0</v>
      </c>
      <c r="U116" s="49"/>
      <c r="V116" s="50">
        <f>IF(AND(V110&gt;T110,$AK93&gt;6,ISNUMBER(T110),ISNUMBER(V110)),1,0)</f>
        <v>0</v>
      </c>
      <c r="W116" s="49">
        <f>IF(AND(W110&gt;Y110,$AK93&gt;7,ISNUMBER(W110),ISNUMBER(Y110)),1,0)</f>
        <v>0</v>
      </c>
      <c r="X116" s="49"/>
      <c r="Y116" s="50">
        <f>IF(AND(Y110&gt;W110,$AK93&gt;7,ISNUMBER(W110),ISNUMBER(Y110)),1,0)</f>
        <v>0</v>
      </c>
      <c r="Z116" s="49">
        <f>IF(AND(Z110&gt;AB110,$AK93&gt;8,ISNUMBER(Z110),ISNUMBER(AB110)),1,0)</f>
        <v>0</v>
      </c>
      <c r="AA116" s="49"/>
      <c r="AB116" s="50">
        <f>IF(AND(AB110&gt;Z110,$AK93&gt;8,ISNUMBER(Z110),ISNUMBER(AB110)),1,0)</f>
        <v>0</v>
      </c>
      <c r="AC116" s="49">
        <f>IF(AND(AC110&gt;AE110,$AK93&gt;9,ISNUMBER(AC110),ISNUMBER(AE110)),1,0)</f>
        <v>0</v>
      </c>
      <c r="AD116" s="49"/>
      <c r="AE116" s="50">
        <f>IF(AND(AE110&gt;AC110,$AK93&gt;9,ISNUMBER(AC110),ISNUMBER(AE110)),1,0)</f>
        <v>0</v>
      </c>
    </row>
    <row r="117" spans="1:43" s="48" customFormat="1" ht="12.75" customHeight="1" x14ac:dyDescent="0.25">
      <c r="A117" s="48" t="s">
        <v>62</v>
      </c>
      <c r="B117" s="49">
        <f>IF(AND(B111&gt;D111,$AK93&gt;0,$AK92&gt;1,ISNUMBER(B111),ISNUMBER(D111)),1,0)</f>
        <v>0</v>
      </c>
      <c r="C117" s="49"/>
      <c r="D117" s="50">
        <f>IF(AND(D111&gt;B111,$AK93&gt;0,$AK92&gt;1,ISNUMBER(B111),ISNUMBER(D111)),1,0)</f>
        <v>0</v>
      </c>
      <c r="E117" s="49">
        <f>IF(AND(E111&gt;G111,$AK93&gt;1,$AK92&gt;1,ISNUMBER(E111),ISNUMBER(G111)),1,0)</f>
        <v>0</v>
      </c>
      <c r="F117" s="49"/>
      <c r="G117" s="50">
        <f>IF(AND(G111&gt;E111,$AK93&gt;1,$AK92&gt;1,ISNUMBER(E111),ISNUMBER(G111)),1,0)</f>
        <v>0</v>
      </c>
      <c r="H117" s="49">
        <f>IF(AND(H111&gt;J111,$AK93&gt;2,$AK92&gt;1,ISNUMBER(H111),ISNUMBER(J111)),1,0)</f>
        <v>0</v>
      </c>
      <c r="I117" s="49"/>
      <c r="J117" s="50">
        <f>IF(AND(J111&gt;H111,$AK93&gt;2,$AK92&gt;1,ISNUMBER(H111),ISNUMBER(J111)),1,0)</f>
        <v>0</v>
      </c>
      <c r="K117" s="49">
        <f>IF(AND(K111&gt;M111,$AK93&gt;3,$AK92&gt;1,ISNUMBER(K111),ISNUMBER(M111)),1,0)</f>
        <v>0</v>
      </c>
      <c r="L117" s="49"/>
      <c r="M117" s="50">
        <f>IF(AND(M111&gt;K111,$AK93&gt;3,$AK92&gt;1,ISNUMBER(K111),ISNUMBER(M111)),1,0)</f>
        <v>0</v>
      </c>
      <c r="N117" s="49">
        <f>IF(AND(N111&gt;P111,$AK93&gt;4,$AK92&gt;1,ISNUMBER(N111),ISNUMBER(P111)),1,0)</f>
        <v>0</v>
      </c>
      <c r="O117" s="49"/>
      <c r="P117" s="50">
        <f>IF(AND(P111&gt;N111,$AK93&gt;4,$AK92&gt;1,ISNUMBER(N111),ISNUMBER(P111)),1,0)</f>
        <v>0</v>
      </c>
      <c r="Q117" s="49">
        <f>IF(AND(Q111&gt;S111,$AK93&gt;5,$AK92&gt;1,ISNUMBER(Q111),ISNUMBER(S111)),1,0)</f>
        <v>0</v>
      </c>
      <c r="R117" s="49"/>
      <c r="S117" s="50">
        <f>IF(AND(S111&gt;Q111,$AK93&gt;5,$AK92&gt;1,ISNUMBER(Q111),ISNUMBER(S111)),1,0)</f>
        <v>0</v>
      </c>
      <c r="T117" s="49">
        <f>IF(AND(T111&gt;V111,$AK93&gt;6,$AK92&gt;1,ISNUMBER(T111),ISNUMBER(V111)),1,0)</f>
        <v>0</v>
      </c>
      <c r="U117" s="49"/>
      <c r="V117" s="50">
        <f>IF(AND(V111&gt;T111,$AK93&gt;6,$AK92&gt;1,ISNUMBER(T111),ISNUMBER(V111)),1,0)</f>
        <v>0</v>
      </c>
      <c r="W117" s="49">
        <f>IF(AND(W111&gt;Y111,$AK93&gt;7,$AK92&gt;1,ISNUMBER(W111),ISNUMBER(Y111)),1,0)</f>
        <v>0</v>
      </c>
      <c r="X117" s="49"/>
      <c r="Y117" s="50">
        <f>IF(AND(Y111&gt;W111,$AK93&gt;7,$AK92&gt;1,ISNUMBER(W111),ISNUMBER(Y111)),1,0)</f>
        <v>0</v>
      </c>
      <c r="Z117" s="49">
        <f>IF(AND(Z111&gt;AB111,$AK93&gt;8,$AK92&gt;1,ISNUMBER(Z111),ISNUMBER(AB111)),1,0)</f>
        <v>0</v>
      </c>
      <c r="AA117" s="49"/>
      <c r="AB117" s="50">
        <f>IF(AND(AB111&gt;Z111,$AK93&gt;8,$AK92&gt;1,ISNUMBER(Z111),ISNUMBER(AB111)),1,0)</f>
        <v>0</v>
      </c>
      <c r="AC117" s="49">
        <f>IF(AND(AC111&gt;AE111,$AK93&gt;9,$AK92&gt;1,ISNUMBER(AC111),ISNUMBER(AE111)),1,0)</f>
        <v>0</v>
      </c>
      <c r="AD117" s="49"/>
      <c r="AE117" s="50">
        <f>IF(AND(AE111&gt;AC111,$AK93&gt;9,$AK92&gt;1,ISNUMBER(AC111),ISNUMBER(AE111)),1,0)</f>
        <v>0</v>
      </c>
    </row>
    <row r="118" spans="1:43" s="48" customFormat="1" ht="12.75" customHeight="1" x14ac:dyDescent="0.25">
      <c r="A118" s="48" t="s">
        <v>63</v>
      </c>
      <c r="B118" s="49">
        <f>IF(AND(B112&gt;D112,$AK93&gt;0,$AK92&gt;2,ISNUMBER(B112),ISNUMBER(D112)),1,0)</f>
        <v>0</v>
      </c>
      <c r="C118" s="49"/>
      <c r="D118" s="50">
        <f>IF(AND(D112&gt;B112,$AK93&gt;0,$AK92&gt;2,ISNUMBER(B112),ISNUMBER(D112)),1,0)</f>
        <v>0</v>
      </c>
      <c r="E118" s="49">
        <f>IF(AND(E112&gt;G112,$AK93&gt;1,$AK92&gt;2,ISNUMBER(E112),ISNUMBER(G112)),1,0)</f>
        <v>0</v>
      </c>
      <c r="F118" s="49"/>
      <c r="G118" s="50">
        <f>IF(AND(G112&gt;E112,$AK93&gt;1,$AK92&gt;2,ISNUMBER(E112),ISNUMBER(G112)),1,0)</f>
        <v>0</v>
      </c>
      <c r="H118" s="49">
        <f>IF(AND(H112&gt;J112,$AK93&gt;2,$AK92&gt;2,ISNUMBER(H112),ISNUMBER(J112)),1,0)</f>
        <v>0</v>
      </c>
      <c r="I118" s="49"/>
      <c r="J118" s="50">
        <f>IF(AND(J112&gt;H112,$AK93&gt;2,$AK92&gt;2,ISNUMBER(H112),ISNUMBER(J112)),1,0)</f>
        <v>0</v>
      </c>
      <c r="K118" s="49">
        <f>IF(AND(K112&gt;M112,$AK93&gt;3,$AK92&gt;2,ISNUMBER(K112),ISNUMBER(M112)),1,0)</f>
        <v>0</v>
      </c>
      <c r="L118" s="49"/>
      <c r="M118" s="50">
        <f>IF(AND(M112&gt;K112,$AK93&gt;3,$AK92&gt;2,ISNUMBER(K112),ISNUMBER(M112)),1,0)</f>
        <v>0</v>
      </c>
      <c r="N118" s="49">
        <f>IF(AND(N112&gt;P112,$AK93&gt;4,$AK92&gt;2,ISNUMBER(N112),ISNUMBER(P112)),1,0)</f>
        <v>0</v>
      </c>
      <c r="O118" s="49"/>
      <c r="P118" s="50">
        <f>IF(AND(P112&gt;N112,$AK93&gt;4,$AK92&gt;2,ISNUMBER(N112),ISNUMBER(P112)),1,0)</f>
        <v>0</v>
      </c>
      <c r="Q118" s="49">
        <f>IF(AND(Q112&gt;S112,$AK93&gt;5,$AK92&gt;2,ISNUMBER(Q112),ISNUMBER(S112)),1,0)</f>
        <v>0</v>
      </c>
      <c r="R118" s="49"/>
      <c r="S118" s="50">
        <f>IF(AND(S112&gt;Q112,$AK93&gt;5,$AK92&gt;2,ISNUMBER(Q112),ISNUMBER(S112)),1,0)</f>
        <v>0</v>
      </c>
      <c r="T118" s="49">
        <f>IF(AND(T112&gt;V112,$AK93&gt;6,$AK92&gt;2,ISNUMBER(T112),ISNUMBER(V112)),1,0)</f>
        <v>0</v>
      </c>
      <c r="U118" s="49"/>
      <c r="V118" s="50">
        <f>IF(AND(V112&gt;T112,$AK93&gt;6,$AK92&gt;2,ISNUMBER(T112),ISNUMBER(V112)),1,0)</f>
        <v>0</v>
      </c>
      <c r="W118" s="49">
        <f>IF(AND(W112&gt;Y112,$AK93&gt;7,$AK92&gt;2,ISNUMBER(W112),ISNUMBER(Y112)),1,0)</f>
        <v>0</v>
      </c>
      <c r="X118" s="49"/>
      <c r="Y118" s="50">
        <f>IF(AND(Y112&gt;W112,$AK93&gt;7,$AK92&gt;2,ISNUMBER(W112),ISNUMBER(Y112)),1,0)</f>
        <v>0</v>
      </c>
      <c r="Z118" s="49">
        <f>IF(AND(Z112&gt;AB112,$AK93&gt;8,$AK92&gt;2,ISNUMBER(Z112),ISNUMBER(AB112)),1,0)</f>
        <v>0</v>
      </c>
      <c r="AA118" s="49"/>
      <c r="AB118" s="50">
        <f>IF(AND(AB112&gt;Z112,$AK93&gt;8,$AK92&gt;2,ISNUMBER(Z112),ISNUMBER(AB112)),1,0)</f>
        <v>0</v>
      </c>
      <c r="AC118" s="49">
        <f>IF(AND(AC112&gt;AE112,$AK93&gt;9,$AK92&gt;2,ISNUMBER(AC112),ISNUMBER(AE112)),1,0)</f>
        <v>0</v>
      </c>
      <c r="AD118" s="49"/>
      <c r="AE118" s="50">
        <f>IF(AND(AE112&gt;AC112,$AK93&gt;9,$AK92&gt;2,ISNUMBER(AC112),ISNUMBER(AE112)),1,0)</f>
        <v>0</v>
      </c>
    </row>
    <row r="119" spans="1:43" s="48" customFormat="1" ht="12.75" customHeight="1" x14ac:dyDescent="0.25">
      <c r="A119" s="48" t="s">
        <v>64</v>
      </c>
      <c r="B119" s="49">
        <f>IF(AND(B113&gt;D113,$AK93&gt;0,$AK92&gt;3,ISNUMBER(B113),ISNUMBER(D113)),1,0)</f>
        <v>0</v>
      </c>
      <c r="C119" s="49"/>
      <c r="D119" s="50">
        <f>IF(AND(D113&gt;B113,$AK93&gt;0,$AK92&gt;3,ISNUMBER(B113),ISNUMBER(D113)),1,0)</f>
        <v>0</v>
      </c>
      <c r="E119" s="49">
        <f>IF(AND(E113&gt;G113,$AK93&gt;1,$AK92&gt;3,ISNUMBER(E113),ISNUMBER(G113)),1,0)</f>
        <v>0</v>
      </c>
      <c r="F119" s="49"/>
      <c r="G119" s="50">
        <f>IF(AND(G113&gt;E113,$AK93&gt;1,$AK92&gt;3,ISNUMBER(E113),ISNUMBER(G113)),1,0)</f>
        <v>0</v>
      </c>
      <c r="H119" s="49">
        <f>IF(AND(H113&gt;J113,$AK93&gt;2,$AK92&gt;3,ISNUMBER(H113),ISNUMBER(J113)),1,0)</f>
        <v>0</v>
      </c>
      <c r="I119" s="49"/>
      <c r="J119" s="50">
        <f>IF(AND(J113&gt;H113,$AK93&gt;2,$AK92&gt;3,ISNUMBER(H113),ISNUMBER(J113)),1,0)</f>
        <v>0</v>
      </c>
      <c r="K119" s="49">
        <f>IF(AND(K113&gt;M113,$AK93&gt;3,$AK92&gt;3,ISNUMBER(K113),ISNUMBER(M113)),1,0)</f>
        <v>0</v>
      </c>
      <c r="L119" s="49"/>
      <c r="M119" s="50">
        <f>IF(AND(M113&gt;K113,$AK93&gt;3,$AK92&gt;3,ISNUMBER(K113),ISNUMBER(M113)),1,0)</f>
        <v>0</v>
      </c>
      <c r="N119" s="49">
        <f>IF(AND(N113&gt;P113,$AK93&gt;4,$AK92&gt;3,ISNUMBER(N113),ISNUMBER(P113)),1,0)</f>
        <v>0</v>
      </c>
      <c r="O119" s="49"/>
      <c r="P119" s="50">
        <f>IF(AND(P113&gt;N113,$AK93&gt;4,$AK92&gt;3,ISNUMBER(N113),ISNUMBER(P113)),1,0)</f>
        <v>0</v>
      </c>
      <c r="Q119" s="49">
        <f>IF(AND(Q113&gt;S113,$AK93&gt;5,$AK92&gt;3,ISNUMBER(Q113),ISNUMBER(S113)),1,0)</f>
        <v>0</v>
      </c>
      <c r="R119" s="49"/>
      <c r="S119" s="50">
        <f>IF(AND(S113&gt;Q113,$AK93&gt;5,$AK92&gt;3,ISNUMBER(Q113),ISNUMBER(S113)),1,0)</f>
        <v>0</v>
      </c>
      <c r="T119" s="49">
        <f>IF(AND(T113&gt;V113,$AK93&gt;6,$AK92&gt;3,ISNUMBER(T113),ISNUMBER(V113)),1,0)</f>
        <v>0</v>
      </c>
      <c r="U119" s="49"/>
      <c r="V119" s="50">
        <f>IF(AND(V113&gt;T113,$AK93&gt;6,$AK92&gt;3,ISNUMBER(T113),ISNUMBER(V113)),1,0)</f>
        <v>0</v>
      </c>
      <c r="W119" s="49">
        <f>IF(AND(W113&gt;Y113,$AK93&gt;7,$AK92&gt;3,ISNUMBER(W113),ISNUMBER(Y113)),1,0)</f>
        <v>0</v>
      </c>
      <c r="X119" s="49"/>
      <c r="Y119" s="50">
        <f>IF(AND(Y113&gt;W113,$AK93&gt;7,$AK92&gt;3,ISNUMBER(W113),ISNUMBER(Y113)),1,0)</f>
        <v>0</v>
      </c>
      <c r="Z119" s="49">
        <f>IF(AND(Z113&gt;AB113,$AK93&gt;8,$AK92&gt;3,ISNUMBER(Z113),ISNUMBER(AB113)),1,0)</f>
        <v>0</v>
      </c>
      <c r="AA119" s="49"/>
      <c r="AB119" s="50">
        <f>IF(AND(AB113&gt;Z113,$AK93&gt;8,$AK92&gt;3,ISNUMBER(Z113),ISNUMBER(AB113)),1,0)</f>
        <v>0</v>
      </c>
      <c r="AC119" s="49">
        <f>IF(AND(AC113&gt;AE113,$AK93&gt;9,$AK92&gt;3,ISNUMBER(AC113),ISNUMBER(AE113)),1,0)</f>
        <v>0</v>
      </c>
      <c r="AD119" s="49"/>
      <c r="AE119" s="50">
        <f>IF(AND(AE113&gt;AC113,$AK93&gt;9,$AK92&gt;3,ISNUMBER(AC113),ISNUMBER(AE113)),1,0)</f>
        <v>0</v>
      </c>
    </row>
    <row r="120" spans="1:43" s="48" customFormat="1" ht="12.75" customHeight="1" x14ac:dyDescent="0.25">
      <c r="A120" s="48" t="s">
        <v>65</v>
      </c>
      <c r="B120" s="49">
        <f>IF(AND(B114&gt;D114,$AK93&gt;0,$AK92&gt;4,ISNUMBER(B114),ISNUMBER(D114)),1,0)</f>
        <v>0</v>
      </c>
      <c r="C120" s="49"/>
      <c r="D120" s="50">
        <f>IF(AND(D114&gt;B114,$AK93&gt;0,$AK92&gt;4,ISNUMBER(B114),ISNUMBER(D114)),1,0)</f>
        <v>0</v>
      </c>
      <c r="E120" s="49">
        <f>IF(AND(E114&gt;G114,$AK93&gt;1,$AK92&gt;4,ISNUMBER(E114),ISNUMBER(G114)),1,0)</f>
        <v>0</v>
      </c>
      <c r="F120" s="49"/>
      <c r="G120" s="50">
        <f>IF(AND(G114&gt;E114,$AK93&gt;1,$AK92&gt;4,ISNUMBER(E114),ISNUMBER(G114)),1,0)</f>
        <v>0</v>
      </c>
      <c r="H120" s="49">
        <f>IF(AND(H114&gt;J114,$AK93&gt;2,$AK92&gt;4,ISNUMBER(H114),ISNUMBER(J114)),1,0)</f>
        <v>0</v>
      </c>
      <c r="I120" s="49"/>
      <c r="J120" s="50">
        <f>IF(AND(J114&gt;H114,$AK93&gt;2,$AK92&gt;4,ISNUMBER(H114),ISNUMBER(J114)),1,0)</f>
        <v>0</v>
      </c>
      <c r="K120" s="49">
        <f>IF(AND(K114&gt;M114,$AK93&gt;3,$AK92&gt;4,ISNUMBER(K114),ISNUMBER(M114)),1,0)</f>
        <v>0</v>
      </c>
      <c r="L120" s="49"/>
      <c r="M120" s="50">
        <f>IF(AND(M114&gt;K114,$AK93&gt;3,$AK92&gt;4,ISNUMBER(K114),ISNUMBER(M114)),1,0)</f>
        <v>0</v>
      </c>
      <c r="N120" s="49">
        <f>IF(AND(N114&gt;P114,$AK93&gt;4,$AK92&gt;4,ISNUMBER(N114),ISNUMBER(P114)),1,0)</f>
        <v>0</v>
      </c>
      <c r="O120" s="49"/>
      <c r="P120" s="50">
        <f>IF(AND(P114&gt;N114,$AK93&gt;4,$AK92&gt;4,ISNUMBER(N114),ISNUMBER(P114)),1,0)</f>
        <v>0</v>
      </c>
      <c r="Q120" s="49">
        <f>IF(AND(Q114&gt;S114,$AK93&gt;5,$AK92&gt;4,ISNUMBER(Q114),ISNUMBER(S114)),1,0)</f>
        <v>0</v>
      </c>
      <c r="R120" s="49"/>
      <c r="S120" s="50">
        <f>IF(AND(S114&gt;Q114,$AK93&gt;5,$AK92&gt;4,ISNUMBER(Q114),ISNUMBER(S114)),1,0)</f>
        <v>0</v>
      </c>
      <c r="T120" s="49">
        <f>IF(AND(T114&gt;V114,$AK93&gt;6,$AK92&gt;4,ISNUMBER(T114),ISNUMBER(V114)),1,0)</f>
        <v>0</v>
      </c>
      <c r="U120" s="49"/>
      <c r="V120" s="50">
        <f>IF(AND(V114&gt;T114,$AK93&gt;6,$AK92&gt;4,ISNUMBER(T114),ISNUMBER(V114)),1,0)</f>
        <v>0</v>
      </c>
      <c r="W120" s="49">
        <f>IF(AND(W114&gt;Y114,$AK93&gt;7,$AK92&gt;4,ISNUMBER(W114),ISNUMBER(Y114)),1,0)</f>
        <v>0</v>
      </c>
      <c r="X120" s="49"/>
      <c r="Y120" s="50">
        <f>IF(AND(Y114&gt;W114,$AK93&gt;7,$AK92&gt;4,ISNUMBER(W114),ISNUMBER(Y114)),1,0)</f>
        <v>0</v>
      </c>
      <c r="Z120" s="49">
        <f>IF(AND(Z114&gt;AB114,$AK93&gt;8,$AK92&gt;4,ISNUMBER(Z114),ISNUMBER(AB114)),1,0)</f>
        <v>0</v>
      </c>
      <c r="AA120" s="49"/>
      <c r="AB120" s="50">
        <f>IF(AND(AB114&gt;Z114,$AK93&gt;8,$AK92&gt;4,ISNUMBER(Z114),ISNUMBER(AB114)),1,0)</f>
        <v>0</v>
      </c>
      <c r="AC120" s="49">
        <f>IF(AND(AC114&gt;AE114,$AK93&gt;9,$AK92&gt;4,ISNUMBER(AC114),ISNUMBER(AE114)),1,0)</f>
        <v>0</v>
      </c>
      <c r="AD120" s="49"/>
      <c r="AE120" s="50">
        <f>IF(AND(AE114&gt;AC114,$AK93&gt;9,$AK92&gt;4,ISNUMBER(AC114),ISNUMBER(AE114)),1,0)</f>
        <v>0</v>
      </c>
    </row>
    <row r="121" spans="1:43" s="48" customFormat="1" ht="38.25" customHeight="1" x14ac:dyDescent="0.25">
      <c r="A121" s="51" t="s">
        <v>66</v>
      </c>
      <c r="B121" s="48">
        <f>SUM(B116:B120)</f>
        <v>1</v>
      </c>
      <c r="D121" s="52">
        <f>SUM(D116:D120)</f>
        <v>0</v>
      </c>
      <c r="E121" s="48">
        <f>SUM(E116:E120)</f>
        <v>1</v>
      </c>
      <c r="G121" s="52">
        <f>SUM(G116:G120)</f>
        <v>0</v>
      </c>
      <c r="H121" s="48">
        <f>SUM(H116:H120)</f>
        <v>1</v>
      </c>
      <c r="J121" s="52">
        <f>SUM(J116:J120)</f>
        <v>0</v>
      </c>
      <c r="K121" s="48">
        <f>SUM(K116:K120)</f>
        <v>0</v>
      </c>
      <c r="M121" s="52">
        <f>SUM(M116:M120)</f>
        <v>1</v>
      </c>
      <c r="N121" s="48">
        <f>SUM(N116:N120)</f>
        <v>0</v>
      </c>
      <c r="P121" s="52">
        <f>SUM(P116:P120)</f>
        <v>1</v>
      </c>
      <c r="Q121" s="48">
        <f>SUM(Q116:Q120)</f>
        <v>0</v>
      </c>
      <c r="S121" s="52">
        <f>SUM(S116:S120)</f>
        <v>1</v>
      </c>
      <c r="T121" s="48">
        <f>SUM(T116:T120)</f>
        <v>0</v>
      </c>
      <c r="V121" s="52">
        <f>SUM(V116:V120)</f>
        <v>0</v>
      </c>
      <c r="W121" s="48">
        <f>SUM(W116:W120)</f>
        <v>0</v>
      </c>
      <c r="Y121" s="52">
        <f>SUM(Y116:Y120)</f>
        <v>0</v>
      </c>
      <c r="Z121" s="48">
        <f>SUM(Z116:Z120)</f>
        <v>0</v>
      </c>
      <c r="AB121" s="52">
        <f>SUM(AB116:AB120)</f>
        <v>0</v>
      </c>
      <c r="AC121" s="48">
        <f>SUM(AC116:AC120)</f>
        <v>0</v>
      </c>
      <c r="AE121" s="52">
        <f>SUM(AE116:AE120)</f>
        <v>0</v>
      </c>
    </row>
    <row r="122" spans="1:43" s="48" customFormat="1" ht="25.5" customHeight="1" x14ac:dyDescent="0.25">
      <c r="A122" s="51" t="s">
        <v>67</v>
      </c>
      <c r="B122" s="48">
        <f>IF(B121&gt;D121,IF(C156=AK92,1,IF(C156=AK92-1,1,0)),0)</f>
        <v>1</v>
      </c>
      <c r="C122" s="48">
        <f>B122+D122</f>
        <v>1</v>
      </c>
      <c r="D122" s="52">
        <f>IF(D121&gt;B121,IF(C156=AK92,1,IF(C156=AK92-1,1,0)),0)</f>
        <v>0</v>
      </c>
      <c r="E122" s="48">
        <f>IF(E121&gt;G121,IF(F156=AK92,1,IF(F156=AK92-1,1,0)),0)</f>
        <v>1</v>
      </c>
      <c r="F122" s="48">
        <f>E122+G122</f>
        <v>1</v>
      </c>
      <c r="G122" s="52">
        <f>IF(G121&gt;E121,IF(F156=AK92,1,IF(F156=AK92-1,1,0)),0)</f>
        <v>0</v>
      </c>
      <c r="H122" s="48">
        <f>IF(H121&gt;J121,IF(I156=AK92,1,IF(I156=AK92-1,1,0)),0)</f>
        <v>1</v>
      </c>
      <c r="I122" s="48">
        <f>H122+J122</f>
        <v>1</v>
      </c>
      <c r="J122" s="52">
        <f>IF(J121&gt;H121,IF(I156=AK92,1,IF(I156=AK92-1,1,0)),0)</f>
        <v>0</v>
      </c>
      <c r="K122" s="48">
        <f>IF(K121&gt;M121,IF(L156=AK92,1,IF(L156=AK92-1,1,0)),0)</f>
        <v>0</v>
      </c>
      <c r="L122" s="48">
        <f>K122+M122</f>
        <v>1</v>
      </c>
      <c r="M122" s="52">
        <f>IF(M121&gt;K121,IF(L156=AK92,1,IF(L156=AK92-1,1,0)),0)</f>
        <v>1</v>
      </c>
      <c r="N122" s="48">
        <f>IF(N121&gt;P121,IF(O156=AK92,1,IF(O156=AK92-1,1,0)),0)</f>
        <v>0</v>
      </c>
      <c r="O122" s="48">
        <f>N122+P122</f>
        <v>1</v>
      </c>
      <c r="P122" s="52">
        <f>IF(P121&gt;N121,IF(O156=AK92,1,IF(O156=AK92-1,1,0)),0)</f>
        <v>1</v>
      </c>
      <c r="Q122" s="48">
        <f>IF(Q121&gt;S121,IF(R156=AK92,1,IF(R156=AK92-1,1,0)),0)</f>
        <v>0</v>
      </c>
      <c r="R122" s="48">
        <f>Q122+S122</f>
        <v>1</v>
      </c>
      <c r="S122" s="52">
        <f>IF(S121&gt;Q121,IF(R156=AK92,1,IF(R156=AK92-1,1,0)),0)</f>
        <v>1</v>
      </c>
      <c r="T122" s="48">
        <f>IF(T121&gt;V121,IF(U156=AK92,1,IF(U156=AK92-1,1,0)),0)</f>
        <v>0</v>
      </c>
      <c r="U122" s="48">
        <f>T122+V122</f>
        <v>0</v>
      </c>
      <c r="V122" s="52">
        <f>IF(V121&gt;T121,IF(U156=AK92,1,IF(U156=AK92-1,1,0)),0)</f>
        <v>0</v>
      </c>
      <c r="W122" s="48">
        <f>IF(W121&gt;Y121,IF(X156=AK92,1,IF(X156=AK92-1,1,0)),0)</f>
        <v>0</v>
      </c>
      <c r="X122" s="48">
        <f>W122+Y122</f>
        <v>0</v>
      </c>
      <c r="Y122" s="52">
        <f>IF(Y121&gt;W121,IF(X156=AK92,1,IF(X156=AK92-1,1,0)),0)</f>
        <v>0</v>
      </c>
      <c r="Z122" s="48">
        <f>IF(Z121&gt;AB121,IF(AA156=AK92,1,IF(AA156=AK92-1,1,0)),0)</f>
        <v>0</v>
      </c>
      <c r="AA122" s="48">
        <f>Z122+AB122</f>
        <v>0</v>
      </c>
      <c r="AB122" s="52">
        <f>IF(AB121&gt;Z121,IF(AA156=AK92,1,IF(AA156=AK92-1,1,0)),0)</f>
        <v>0</v>
      </c>
      <c r="AC122" s="48">
        <f>IF(AC121&gt;AE121,IF(AD156=AK92,1,IF(AD156=AK92-1,1,0)),0)</f>
        <v>0</v>
      </c>
      <c r="AD122" s="48">
        <f>AC122+AE122</f>
        <v>0</v>
      </c>
      <c r="AE122" s="52">
        <f>IF(AE121&gt;AC121,IF(AD156=AK92,1,IF(AD156=AK92-1,1,0)),0)</f>
        <v>0</v>
      </c>
    </row>
    <row r="123" spans="1:43" s="48" customFormat="1" ht="25.5" customHeight="1" x14ac:dyDescent="0.25">
      <c r="A123" s="51"/>
      <c r="D123" s="52"/>
      <c r="G123" s="52"/>
      <c r="J123" s="52"/>
      <c r="M123" s="52"/>
      <c r="P123" s="52"/>
      <c r="S123" s="52"/>
      <c r="V123" s="52"/>
      <c r="Y123" s="52"/>
      <c r="AB123" s="52"/>
      <c r="AE123" s="52"/>
    </row>
    <row r="124" spans="1:43" s="48" customFormat="1" ht="12.75" customHeight="1" x14ac:dyDescent="0.25">
      <c r="A124" s="48" t="s">
        <v>68</v>
      </c>
      <c r="B124" s="48">
        <f>IF(B116=1,B110,0)</f>
        <v>19</v>
      </c>
      <c r="D124" s="52">
        <f t="shared" ref="D124:E128" si="9">IF(D116=1,D110,0)</f>
        <v>0</v>
      </c>
      <c r="E124" s="48">
        <f t="shared" si="9"/>
        <v>23</v>
      </c>
      <c r="G124" s="52">
        <f t="shared" ref="G124:H128" si="10">IF(G116=1,G110,0)</f>
        <v>0</v>
      </c>
      <c r="H124" s="48">
        <f t="shared" si="10"/>
        <v>23</v>
      </c>
      <c r="J124" s="52">
        <f t="shared" ref="J124:K128" si="11">IF(J116=1,J110,0)</f>
        <v>0</v>
      </c>
      <c r="K124" s="48">
        <f t="shared" si="11"/>
        <v>0</v>
      </c>
      <c r="M124" s="52">
        <f t="shared" ref="M124:N128" si="12">IF(M116=1,M110,0)</f>
        <v>18</v>
      </c>
      <c r="N124" s="48">
        <f t="shared" si="12"/>
        <v>0</v>
      </c>
      <c r="P124" s="52">
        <f t="shared" ref="P124:Q128" si="13">IF(P116=1,P110,0)</f>
        <v>17</v>
      </c>
      <c r="Q124" s="48">
        <f t="shared" si="13"/>
        <v>0</v>
      </c>
      <c r="S124" s="52">
        <f t="shared" ref="S124:T128" si="14">IF(S116=1,S110,0)</f>
        <v>28</v>
      </c>
      <c r="T124" s="48">
        <f t="shared" si="14"/>
        <v>0</v>
      </c>
      <c r="V124" s="52">
        <f t="shared" ref="V124:W128" si="15">IF(V116=1,V110,0)</f>
        <v>0</v>
      </c>
      <c r="W124" s="48">
        <f t="shared" si="15"/>
        <v>0</v>
      </c>
      <c r="Y124" s="52">
        <f t="shared" ref="Y124:Z128" si="16">IF(Y116=1,Y110,0)</f>
        <v>0</v>
      </c>
      <c r="Z124" s="48">
        <f t="shared" si="16"/>
        <v>0</v>
      </c>
      <c r="AB124" s="52">
        <f t="shared" ref="AB124:AC128" si="17">IF(AB116=1,AB110,0)</f>
        <v>0</v>
      </c>
      <c r="AC124" s="48">
        <f t="shared" si="17"/>
        <v>0</v>
      </c>
      <c r="AE124" s="52">
        <f>IF(AE116=1,AE110,0)</f>
        <v>0</v>
      </c>
    </row>
    <row r="125" spans="1:43" s="48" customFormat="1" ht="12.75" customHeight="1" x14ac:dyDescent="0.25">
      <c r="A125" s="48" t="s">
        <v>69</v>
      </c>
      <c r="B125" s="48">
        <f>IF(B117=1,B111,0)</f>
        <v>0</v>
      </c>
      <c r="D125" s="52">
        <f t="shared" si="9"/>
        <v>0</v>
      </c>
      <c r="E125" s="48">
        <f t="shared" si="9"/>
        <v>0</v>
      </c>
      <c r="G125" s="52">
        <f t="shared" si="10"/>
        <v>0</v>
      </c>
      <c r="H125" s="48">
        <f t="shared" si="10"/>
        <v>0</v>
      </c>
      <c r="J125" s="52">
        <f t="shared" si="11"/>
        <v>0</v>
      </c>
      <c r="K125" s="48">
        <f t="shared" si="11"/>
        <v>0</v>
      </c>
      <c r="M125" s="52">
        <f t="shared" si="12"/>
        <v>0</v>
      </c>
      <c r="N125" s="48">
        <f t="shared" si="12"/>
        <v>0</v>
      </c>
      <c r="P125" s="52">
        <f t="shared" si="13"/>
        <v>0</v>
      </c>
      <c r="Q125" s="48">
        <f t="shared" si="13"/>
        <v>0</v>
      </c>
      <c r="S125" s="52">
        <f t="shared" si="14"/>
        <v>0</v>
      </c>
      <c r="T125" s="48">
        <f t="shared" si="14"/>
        <v>0</v>
      </c>
      <c r="V125" s="52">
        <f t="shared" si="15"/>
        <v>0</v>
      </c>
      <c r="W125" s="48">
        <f t="shared" si="15"/>
        <v>0</v>
      </c>
      <c r="Y125" s="52">
        <f t="shared" si="16"/>
        <v>0</v>
      </c>
      <c r="Z125" s="48">
        <f t="shared" si="16"/>
        <v>0</v>
      </c>
      <c r="AB125" s="52">
        <f t="shared" si="17"/>
        <v>0</v>
      </c>
      <c r="AC125" s="48">
        <f t="shared" si="17"/>
        <v>0</v>
      </c>
      <c r="AE125" s="52">
        <f>IF(AE117=1,AE111,0)</f>
        <v>0</v>
      </c>
    </row>
    <row r="126" spans="1:43" s="48" customFormat="1" ht="12.75" customHeight="1" x14ac:dyDescent="0.25">
      <c r="A126" s="48" t="s">
        <v>70</v>
      </c>
      <c r="B126" s="48">
        <f>IF(B118=1,B112,0)</f>
        <v>0</v>
      </c>
      <c r="D126" s="52">
        <f t="shared" si="9"/>
        <v>0</v>
      </c>
      <c r="E126" s="48">
        <f t="shared" si="9"/>
        <v>0</v>
      </c>
      <c r="G126" s="52">
        <f t="shared" si="10"/>
        <v>0</v>
      </c>
      <c r="H126" s="48">
        <f t="shared" si="10"/>
        <v>0</v>
      </c>
      <c r="J126" s="52">
        <f t="shared" si="11"/>
        <v>0</v>
      </c>
      <c r="K126" s="48">
        <f t="shared" si="11"/>
        <v>0</v>
      </c>
      <c r="M126" s="52">
        <f t="shared" si="12"/>
        <v>0</v>
      </c>
      <c r="N126" s="48">
        <f t="shared" si="12"/>
        <v>0</v>
      </c>
      <c r="P126" s="52">
        <f t="shared" si="13"/>
        <v>0</v>
      </c>
      <c r="Q126" s="48">
        <f t="shared" si="13"/>
        <v>0</v>
      </c>
      <c r="S126" s="52">
        <f t="shared" si="14"/>
        <v>0</v>
      </c>
      <c r="T126" s="48">
        <f t="shared" si="14"/>
        <v>0</v>
      </c>
      <c r="V126" s="52">
        <f t="shared" si="15"/>
        <v>0</v>
      </c>
      <c r="W126" s="48">
        <f t="shared" si="15"/>
        <v>0</v>
      </c>
      <c r="Y126" s="52">
        <f t="shared" si="16"/>
        <v>0</v>
      </c>
      <c r="Z126" s="48">
        <f t="shared" si="16"/>
        <v>0</v>
      </c>
      <c r="AB126" s="52">
        <f t="shared" si="17"/>
        <v>0</v>
      </c>
      <c r="AC126" s="48">
        <f t="shared" si="17"/>
        <v>0</v>
      </c>
      <c r="AE126" s="52">
        <f>IF(AE118=1,AE112,0)</f>
        <v>0</v>
      </c>
    </row>
    <row r="127" spans="1:43" s="48" customFormat="1" ht="12.75" customHeight="1" x14ac:dyDescent="0.25">
      <c r="A127" s="48" t="s">
        <v>71</v>
      </c>
      <c r="B127" s="48">
        <f>IF(B119=1,B113,0)</f>
        <v>0</v>
      </c>
      <c r="D127" s="52">
        <f t="shared" si="9"/>
        <v>0</v>
      </c>
      <c r="E127" s="48">
        <f t="shared" si="9"/>
        <v>0</v>
      </c>
      <c r="G127" s="52">
        <f t="shared" si="10"/>
        <v>0</v>
      </c>
      <c r="H127" s="48">
        <f t="shared" si="10"/>
        <v>0</v>
      </c>
      <c r="J127" s="52">
        <f t="shared" si="11"/>
        <v>0</v>
      </c>
      <c r="K127" s="48">
        <f t="shared" si="11"/>
        <v>0</v>
      </c>
      <c r="M127" s="52">
        <f t="shared" si="12"/>
        <v>0</v>
      </c>
      <c r="N127" s="48">
        <f t="shared" si="12"/>
        <v>0</v>
      </c>
      <c r="P127" s="52">
        <f t="shared" si="13"/>
        <v>0</v>
      </c>
      <c r="Q127" s="48">
        <f t="shared" si="13"/>
        <v>0</v>
      </c>
      <c r="S127" s="52">
        <f t="shared" si="14"/>
        <v>0</v>
      </c>
      <c r="T127" s="48">
        <f t="shared" si="14"/>
        <v>0</v>
      </c>
      <c r="V127" s="52">
        <f t="shared" si="15"/>
        <v>0</v>
      </c>
      <c r="W127" s="48">
        <f t="shared" si="15"/>
        <v>0</v>
      </c>
      <c r="Y127" s="52">
        <f t="shared" si="16"/>
        <v>0</v>
      </c>
      <c r="Z127" s="48">
        <f t="shared" si="16"/>
        <v>0</v>
      </c>
      <c r="AB127" s="52">
        <f t="shared" si="17"/>
        <v>0</v>
      </c>
      <c r="AC127" s="48">
        <f t="shared" si="17"/>
        <v>0</v>
      </c>
      <c r="AE127" s="52">
        <f>IF(AE119=1,AE113,0)</f>
        <v>0</v>
      </c>
    </row>
    <row r="128" spans="1:43" s="48" customFormat="1" ht="12.75" customHeight="1" x14ac:dyDescent="0.25">
      <c r="A128" s="48" t="s">
        <v>72</v>
      </c>
      <c r="B128" s="48">
        <f>IF(B120=1,B114,0)</f>
        <v>0</v>
      </c>
      <c r="D128" s="52">
        <f t="shared" si="9"/>
        <v>0</v>
      </c>
      <c r="E128" s="48">
        <f t="shared" si="9"/>
        <v>0</v>
      </c>
      <c r="G128" s="52">
        <f t="shared" si="10"/>
        <v>0</v>
      </c>
      <c r="H128" s="48">
        <f t="shared" si="10"/>
        <v>0</v>
      </c>
      <c r="J128" s="52">
        <f t="shared" si="11"/>
        <v>0</v>
      </c>
      <c r="K128" s="48">
        <f t="shared" si="11"/>
        <v>0</v>
      </c>
      <c r="M128" s="52">
        <f t="shared" si="12"/>
        <v>0</v>
      </c>
      <c r="N128" s="48">
        <f t="shared" si="12"/>
        <v>0</v>
      </c>
      <c r="P128" s="52">
        <f t="shared" si="13"/>
        <v>0</v>
      </c>
      <c r="Q128" s="48">
        <f t="shared" si="13"/>
        <v>0</v>
      </c>
      <c r="S128" s="52">
        <f t="shared" si="14"/>
        <v>0</v>
      </c>
      <c r="T128" s="48">
        <f t="shared" si="14"/>
        <v>0</v>
      </c>
      <c r="V128" s="52">
        <f t="shared" si="15"/>
        <v>0</v>
      </c>
      <c r="W128" s="48">
        <f t="shared" si="15"/>
        <v>0</v>
      </c>
      <c r="Y128" s="52">
        <f t="shared" si="16"/>
        <v>0</v>
      </c>
      <c r="Z128" s="48">
        <f t="shared" si="16"/>
        <v>0</v>
      </c>
      <c r="AB128" s="52">
        <f t="shared" si="17"/>
        <v>0</v>
      </c>
      <c r="AC128" s="48">
        <f t="shared" si="17"/>
        <v>0</v>
      </c>
      <c r="AE128" s="52">
        <f>IF(AE120=1,AE114,0)</f>
        <v>0</v>
      </c>
    </row>
    <row r="129" spans="1:37" s="48" customFormat="1" ht="38.25" customHeight="1" x14ac:dyDescent="0.25">
      <c r="A129" s="51" t="s">
        <v>73</v>
      </c>
      <c r="B129" s="48">
        <f>SUM(B124:D128)</f>
        <v>19</v>
      </c>
      <c r="D129" s="52"/>
      <c r="E129" s="48">
        <f>SUM(E124:G128)</f>
        <v>23</v>
      </c>
      <c r="G129" s="52"/>
      <c r="H129" s="48">
        <f>SUM(H124:J128)</f>
        <v>23</v>
      </c>
      <c r="J129" s="52"/>
      <c r="K129" s="48">
        <f>SUM(K124:M128)</f>
        <v>18</v>
      </c>
      <c r="M129" s="52"/>
      <c r="N129" s="48">
        <f>SUM(N124:P128)</f>
        <v>17</v>
      </c>
      <c r="P129" s="52"/>
      <c r="Q129" s="48">
        <f>SUM(Q124:S128)</f>
        <v>28</v>
      </c>
      <c r="S129" s="52"/>
      <c r="T129" s="48">
        <f>SUM(T124:V128)</f>
        <v>0</v>
      </c>
      <c r="V129" s="52"/>
      <c r="W129" s="48">
        <f>SUM(W124:Y128)</f>
        <v>0</v>
      </c>
      <c r="Y129" s="52"/>
      <c r="Z129" s="48">
        <f>SUM(Z124:AB128)</f>
        <v>0</v>
      </c>
      <c r="AB129" s="52"/>
      <c r="AC129" s="48">
        <f>SUM(AC124:AE128)</f>
        <v>0</v>
      </c>
      <c r="AE129" s="52"/>
    </row>
    <row r="130" spans="1:37" s="48" customFormat="1" ht="38.25" customHeight="1" x14ac:dyDescent="0.25">
      <c r="A130" s="48" t="s">
        <v>74</v>
      </c>
      <c r="D130" s="52"/>
      <c r="G130" s="52"/>
      <c r="J130" s="52"/>
      <c r="M130" s="52"/>
      <c r="P130" s="52"/>
      <c r="S130" s="52"/>
      <c r="V130" s="52"/>
      <c r="Y130" s="52"/>
      <c r="AB130" s="52"/>
      <c r="AE130" s="52"/>
      <c r="AF130" s="51" t="s">
        <v>75</v>
      </c>
      <c r="AG130" s="48" t="s">
        <v>76</v>
      </c>
    </row>
    <row r="131" spans="1:37" s="48" customFormat="1" ht="12.75" customHeight="1" x14ac:dyDescent="0.25">
      <c r="A131" s="48" t="s">
        <v>77</v>
      </c>
      <c r="B131" s="48">
        <f>IF(B109=1,IF(B122=1,1,0),0)</f>
        <v>0</v>
      </c>
      <c r="D131" s="52">
        <f>IF(D109=1,IF(D122=1,1,0),0)</f>
        <v>0</v>
      </c>
      <c r="E131" s="48">
        <f>IF(E109=1,IF(E122=1,1,0),0)</f>
        <v>1</v>
      </c>
      <c r="G131" s="52">
        <f>IF(G109=1,IF(G122=1,1,0),0)</f>
        <v>0</v>
      </c>
      <c r="H131" s="48">
        <f>IF(H109=1,IF(H122=1,1,0),0)</f>
        <v>0</v>
      </c>
      <c r="J131" s="52">
        <f>IF(J109=1,IF(J122=1,1,0),0)</f>
        <v>0</v>
      </c>
      <c r="K131" s="48">
        <f>IF(K109=1,IF(K122=1,1,0),0)</f>
        <v>0</v>
      </c>
      <c r="M131" s="52">
        <f>IF(M109=1,IF(M122=1,1,0),0)</f>
        <v>0</v>
      </c>
      <c r="N131" s="48">
        <f>IF(N109=1,IF(N122=1,1,0),0)</f>
        <v>0</v>
      </c>
      <c r="P131" s="52">
        <f>IF(P109=1,IF(P122=1,1,0),0)</f>
        <v>0</v>
      </c>
      <c r="Q131" s="48">
        <f>IF(Q109=1,IF(Q122=1,1,0),0)</f>
        <v>0</v>
      </c>
      <c r="S131" s="52">
        <f>IF(S109=1,IF(S122=1,1,0),0)</f>
        <v>0</v>
      </c>
      <c r="T131" s="48">
        <f>IF(T109=1,IF(T122=1,1,0),0)</f>
        <v>0</v>
      </c>
      <c r="V131" s="52">
        <f>IF(V109=1,IF(V122=1,1,0),0)</f>
        <v>0</v>
      </c>
      <c r="W131" s="48">
        <f>IF(W109=1,IF(W122=1,1,0),0)</f>
        <v>0</v>
      </c>
      <c r="Y131" s="52">
        <f>IF(Y109=1,IF(Y122=1,1,0),0)</f>
        <v>0</v>
      </c>
      <c r="Z131" s="48">
        <f>IF(Z109=1,IF(Z122=1,1,0),0)</f>
        <v>0</v>
      </c>
      <c r="AB131" s="52">
        <f>IF(AB109=1,IF(AB122=1,1,0),0)</f>
        <v>0</v>
      </c>
      <c r="AC131" s="48">
        <f>IF(AC109=1,IF(AC122=1,1,0),0)</f>
        <v>0</v>
      </c>
      <c r="AE131" s="52">
        <f>IF(AE109=1,IF(AE122=1,1,0),0)</f>
        <v>0</v>
      </c>
      <c r="AF131" s="48">
        <f>SUM(B131:AE131)</f>
        <v>1</v>
      </c>
      <c r="AG131" s="48">
        <f>AF137-AF131</f>
        <v>2</v>
      </c>
    </row>
    <row r="132" spans="1:37" s="48" customFormat="1" ht="12.75" customHeight="1" x14ac:dyDescent="0.25">
      <c r="A132" s="48" t="s">
        <v>78</v>
      </c>
      <c r="B132" s="48">
        <f>IF(B109=2,IF(B122=1,1,0),0)</f>
        <v>1</v>
      </c>
      <c r="D132" s="52">
        <f>IF(D109=2,IF(D122=1,1,0),0)</f>
        <v>0</v>
      </c>
      <c r="E132" s="48">
        <f>IF(E109=2,IF(E122=1,1,0),0)</f>
        <v>0</v>
      </c>
      <c r="G132" s="52">
        <f>IF(G109=2,IF(G122=1,1,0),0)</f>
        <v>0</v>
      </c>
      <c r="H132" s="48">
        <f>IF(H109=2,IF(H122=1,1,0),0)</f>
        <v>1</v>
      </c>
      <c r="J132" s="52">
        <f>IF(J109=2,IF(J122=1,1,0),0)</f>
        <v>0</v>
      </c>
      <c r="K132" s="48">
        <f>IF(K109=2,IF(K122=1,1,0),0)</f>
        <v>0</v>
      </c>
      <c r="M132" s="52">
        <f>IF(M109=2,IF(M122=1,1,0),0)</f>
        <v>0</v>
      </c>
      <c r="N132" s="48">
        <f>IF(N109=2,IF(N122=1,1,0),0)</f>
        <v>0</v>
      </c>
      <c r="P132" s="52">
        <f>IF(P109=2,IF(P122=1,1,0),0)</f>
        <v>0</v>
      </c>
      <c r="Q132" s="48">
        <f>IF(Q109=2,IF(Q122=1,1,0),0)</f>
        <v>0</v>
      </c>
      <c r="S132" s="52">
        <f>IF(S109=2,IF(S122=1,1,0),0)</f>
        <v>1</v>
      </c>
      <c r="T132" s="48">
        <f>IF(T109=2,IF(T122=1,1,0),0)</f>
        <v>0</v>
      </c>
      <c r="V132" s="52">
        <f>IF(V109=2,IF(V122=1,1,0),0)</f>
        <v>0</v>
      </c>
      <c r="W132" s="48">
        <f>IF(W109=2,IF(W122=1,1,0),0)</f>
        <v>0</v>
      </c>
      <c r="Y132" s="52">
        <f>IF(Y109=2,IF(Y122=1,1,0),0)</f>
        <v>0</v>
      </c>
      <c r="Z132" s="48">
        <f>IF(Z109=2,IF(Z122=1,1,0),0)</f>
        <v>0</v>
      </c>
      <c r="AB132" s="52">
        <f>IF(AB109=2,IF(AB122=1,1,0),0)</f>
        <v>0</v>
      </c>
      <c r="AC132" s="48">
        <f>IF(AC109=2,IF(AC122=1,1,0),0)</f>
        <v>0</v>
      </c>
      <c r="AE132" s="52">
        <f>IF(AE109=2,IF(AE122=1,1,0),0)</f>
        <v>0</v>
      </c>
      <c r="AF132" s="48">
        <f>SUM(B132:AE132)</f>
        <v>3</v>
      </c>
      <c r="AG132" s="48">
        <f>AF138-AF132</f>
        <v>0</v>
      </c>
    </row>
    <row r="133" spans="1:37" s="48" customFormat="1" ht="12.75" customHeight="1" x14ac:dyDescent="0.25">
      <c r="A133" s="48" t="s">
        <v>79</v>
      </c>
      <c r="B133" s="48">
        <f>IF(B109=3,IF(B122=1,1,0),0)</f>
        <v>0</v>
      </c>
      <c r="D133" s="52">
        <f>IF(D109=3,IF(D122=1,1,0),0)</f>
        <v>0</v>
      </c>
      <c r="E133" s="48">
        <f>IF(E109=3,IF(E122=1,1,0),0)</f>
        <v>0</v>
      </c>
      <c r="G133" s="52">
        <f>IF(G109=3,IF(G122=1,1,0),0)</f>
        <v>0</v>
      </c>
      <c r="H133" s="48">
        <f>IF(H109=3,IF(H122=1,1,0),0)</f>
        <v>0</v>
      </c>
      <c r="J133" s="52">
        <f>IF(J109=3,IF(J122=1,1,0),0)</f>
        <v>0</v>
      </c>
      <c r="K133" s="48">
        <f>IF(K109=3,IF(K122=1,1,0),0)</f>
        <v>0</v>
      </c>
      <c r="M133" s="52">
        <f>IF(M109=3,IF(M122=1,1,0),0)</f>
        <v>1</v>
      </c>
      <c r="N133" s="48">
        <f>IF(N109=3,IF(N122=1,1,0),0)</f>
        <v>0</v>
      </c>
      <c r="P133" s="52">
        <f>IF(P109=3,IF(P122=1,1,0),0)</f>
        <v>0</v>
      </c>
      <c r="Q133" s="48">
        <f>IF(Q109=3,IF(Q122=1,1,0),0)</f>
        <v>0</v>
      </c>
      <c r="S133" s="52">
        <f>IF(S109=3,IF(S122=1,1,0),0)</f>
        <v>0</v>
      </c>
      <c r="T133" s="48">
        <f>IF(T109=3,IF(T122=1,1,0),0)</f>
        <v>0</v>
      </c>
      <c r="V133" s="52">
        <f>IF(V109=3,IF(V122=1,1,0),0)</f>
        <v>0</v>
      </c>
      <c r="W133" s="48">
        <f>IF(W109=3,IF(W122=1,1,0),0)</f>
        <v>0</v>
      </c>
      <c r="Y133" s="52">
        <f>IF(Y109=3,IF(Y122=1,1,0),0)</f>
        <v>0</v>
      </c>
      <c r="Z133" s="48">
        <f>IF(Z109=3,IF(Z122=1,1,0),0)</f>
        <v>0</v>
      </c>
      <c r="AB133" s="52">
        <f>IF(AB109=3,IF(AB122=1,1,0),0)</f>
        <v>0</v>
      </c>
      <c r="AC133" s="48">
        <f>IF(AC109=3,IF(AC122=1,1,0),0)</f>
        <v>0</v>
      </c>
      <c r="AE133" s="52">
        <f>IF(AE109=3,IF(AE122=1,1,0),0)</f>
        <v>0</v>
      </c>
      <c r="AF133" s="48">
        <f>SUM(B133:AE133)</f>
        <v>1</v>
      </c>
      <c r="AG133" s="48">
        <f>AF139-AF133</f>
        <v>2</v>
      </c>
    </row>
    <row r="134" spans="1:37" s="48" customFormat="1" ht="12.75" customHeight="1" x14ac:dyDescent="0.25">
      <c r="A134" s="48" t="s">
        <v>80</v>
      </c>
      <c r="B134" s="48">
        <f>IF(B109=4,IF(B122=1,1,0),0)</f>
        <v>0</v>
      </c>
      <c r="D134" s="52">
        <f>IF(D109=4,IF(D122=1,1,0),0)</f>
        <v>0</v>
      </c>
      <c r="E134" s="48">
        <f>IF(E109=4,IF(E122=1,1,0),0)</f>
        <v>0</v>
      </c>
      <c r="G134" s="52">
        <f>IF(G109=4,IF(G122=1,1,0),0)</f>
        <v>0</v>
      </c>
      <c r="H134" s="48">
        <f>IF(H109=4,IF(H122=1,1,0),0)</f>
        <v>0</v>
      </c>
      <c r="J134" s="52">
        <f>IF(J109=4,IF(J122=1,1,0),0)</f>
        <v>0</v>
      </c>
      <c r="K134" s="48">
        <f>IF(K109=4,IF(K122=1,1,0),0)</f>
        <v>0</v>
      </c>
      <c r="M134" s="52">
        <f>IF(M109=4,IF(M122=1,1,0),0)</f>
        <v>0</v>
      </c>
      <c r="N134" s="48">
        <f>IF(N109=4,IF(N122=1,1,0),0)</f>
        <v>0</v>
      </c>
      <c r="P134" s="52">
        <f>IF(P109=4,IF(P122=1,1,0),0)</f>
        <v>1</v>
      </c>
      <c r="Q134" s="48">
        <f>IF(Q109=4,IF(Q122=1,1,0),0)</f>
        <v>0</v>
      </c>
      <c r="S134" s="52">
        <f>IF(S109=4,IF(S122=1,1,0),0)</f>
        <v>0</v>
      </c>
      <c r="T134" s="48">
        <f>IF(T109=4,IF(T122=1,1,0),0)</f>
        <v>0</v>
      </c>
      <c r="V134" s="52">
        <f>IF(V109=4,IF(V122=1,1,0),0)</f>
        <v>0</v>
      </c>
      <c r="W134" s="48">
        <f>IF(W109=4,IF(W122=1,1,0),0)</f>
        <v>0</v>
      </c>
      <c r="Y134" s="52">
        <f>IF(Y109=4,IF(Y122=1,1,0),0)</f>
        <v>0</v>
      </c>
      <c r="Z134" s="48">
        <f>IF(Z109=4,IF(Z122=1,1,0),0)</f>
        <v>0</v>
      </c>
      <c r="AB134" s="52">
        <f>IF(AB109=4,IF(AB122=1,1,0),0)</f>
        <v>0</v>
      </c>
      <c r="AC134" s="48">
        <f>IF(AC109=4,IF(AC122=1,1,0),0)</f>
        <v>0</v>
      </c>
      <c r="AE134" s="52">
        <f>IF(AE109=4,IF(AE122=1,1,0),0)</f>
        <v>0</v>
      </c>
      <c r="AF134" s="48">
        <f>SUM(B134:AE134)</f>
        <v>1</v>
      </c>
      <c r="AG134" s="48">
        <f>AF140-AF134</f>
        <v>2</v>
      </c>
    </row>
    <row r="135" spans="1:37" s="48" customFormat="1" ht="12.75" customHeight="1" x14ac:dyDescent="0.25">
      <c r="A135" s="48" t="s">
        <v>81</v>
      </c>
      <c r="B135" s="48">
        <f>IF(B109=5,IF(B122=1,1,0),0)</f>
        <v>0</v>
      </c>
      <c r="D135" s="52">
        <f>IF(D109=5,IF(D122=1,1,0),0)</f>
        <v>0</v>
      </c>
      <c r="E135" s="48">
        <f>IF(E109=5,IF(E122=1,1,0),0)</f>
        <v>0</v>
      </c>
      <c r="G135" s="52">
        <f>IF(G109=5,IF(G122=1,1,0),0)</f>
        <v>0</v>
      </c>
      <c r="H135" s="48">
        <f>IF(H109=5,IF(H122=1,1,0),0)</f>
        <v>0</v>
      </c>
      <c r="J135" s="52">
        <f>IF(J109=5,IF(J122=1,1,0),0)</f>
        <v>0</v>
      </c>
      <c r="K135" s="48">
        <f>IF(K109=5,IF(K122=1,1,0),0)</f>
        <v>0</v>
      </c>
      <c r="M135" s="52">
        <f>IF(M109=5,IF(M122=1,1,0),0)</f>
        <v>0</v>
      </c>
      <c r="N135" s="48">
        <f>IF(N109=5,IF(N122=1,1,0),0)</f>
        <v>0</v>
      </c>
      <c r="P135" s="52">
        <f>IF(P109=5,IF(P122=1,1,0),0)</f>
        <v>0</v>
      </c>
      <c r="Q135" s="48">
        <f>IF(Q109=5,IF(Q122=1,1,0),0)</f>
        <v>0</v>
      </c>
      <c r="S135" s="52">
        <f>IF(S109=5,IF(S122=1,1,0),0)</f>
        <v>0</v>
      </c>
      <c r="T135" s="48">
        <f>IF(T109=5,IF(T122=1,1,0),0)</f>
        <v>0</v>
      </c>
      <c r="V135" s="52">
        <f>IF(V109=5,IF(V122=1,1,0),0)</f>
        <v>0</v>
      </c>
      <c r="W135" s="48">
        <f>IF(W109=5,IF(W122=1,1,0),0)</f>
        <v>0</v>
      </c>
      <c r="Y135" s="52">
        <f>IF(Y109=5,IF(Y122=1,1,0),0)</f>
        <v>0</v>
      </c>
      <c r="Z135" s="48">
        <f>IF(Z109=5,IF(Z122=1,1,0),0)</f>
        <v>0</v>
      </c>
      <c r="AB135" s="52">
        <f>IF(AB109=5,IF(AB122=1,1,0),0)</f>
        <v>0</v>
      </c>
      <c r="AC135" s="48">
        <f>IF(AC109=5,IF(AC122=1,1,0),0)</f>
        <v>0</v>
      </c>
      <c r="AE135" s="52">
        <f>IF(AE109=5,IF(AE122=1,1,0),0)</f>
        <v>0</v>
      </c>
      <c r="AF135" s="48">
        <f>SUM(B135:AE135)</f>
        <v>0</v>
      </c>
      <c r="AG135" s="48">
        <f>AF141-AF135</f>
        <v>0</v>
      </c>
    </row>
    <row r="136" spans="1:37" s="48" customFormat="1" ht="38.25" customHeight="1" x14ac:dyDescent="0.25">
      <c r="A136" s="51"/>
      <c r="D136" s="52"/>
      <c r="G136" s="52"/>
      <c r="J136" s="52"/>
      <c r="M136" s="52"/>
      <c r="P136" s="52"/>
      <c r="S136" s="52"/>
      <c r="V136" s="52"/>
      <c r="Y136" s="52"/>
      <c r="AB136" s="52"/>
      <c r="AE136" s="52"/>
      <c r="AF136" s="51" t="s">
        <v>82</v>
      </c>
    </row>
    <row r="137" spans="1:37" s="48" customFormat="1" ht="12.75" customHeight="1" x14ac:dyDescent="0.25">
      <c r="A137" s="48" t="s">
        <v>83</v>
      </c>
      <c r="B137" s="48">
        <f>IF(B109=1,IF(C122=1,1,0),0)</f>
        <v>0</v>
      </c>
      <c r="D137" s="52">
        <f>IF(D109=1,IF(C122=1,1,0),0)</f>
        <v>0</v>
      </c>
      <c r="E137" s="48">
        <f>IF(E109=1,IF(F122=1,1,0),0)</f>
        <v>1</v>
      </c>
      <c r="G137" s="52">
        <f>IF(G109=1,IF(F122=1,1,0),0)</f>
        <v>0</v>
      </c>
      <c r="H137" s="48">
        <f>IF(H109=1,IF(I122=1,1,0),0)</f>
        <v>0</v>
      </c>
      <c r="J137" s="52">
        <f>IF(J109=1,IF(I122=1,1,0),0)</f>
        <v>0</v>
      </c>
      <c r="K137" s="48">
        <f>IF(K109=1,IF(L122=1,1,0),0)</f>
        <v>1</v>
      </c>
      <c r="M137" s="52">
        <f>IF(M109=1,IF(L122=1,1,0),0)</f>
        <v>0</v>
      </c>
      <c r="N137" s="48">
        <f>IF(N109=1,IF(O122=1,1,0),0)</f>
        <v>0</v>
      </c>
      <c r="P137" s="52">
        <f>IF(P109=1,IF(O122=1,1,0),0)</f>
        <v>0</v>
      </c>
      <c r="Q137" s="48">
        <f>IF(Q109=1,IF(R122=1,1,0),0)</f>
        <v>1</v>
      </c>
      <c r="S137" s="52">
        <f>IF(S109=1,IF(R122=1,1,0),0)</f>
        <v>0</v>
      </c>
      <c r="T137" s="48">
        <f>IF(T109=1,IF(U122=1,1,0),0)</f>
        <v>0</v>
      </c>
      <c r="V137" s="52">
        <f>IF(V109=1,IF(U122=1,1,0),0)</f>
        <v>0</v>
      </c>
      <c r="W137" s="48">
        <f>IF(W109=1,IF(X122=1,1,0),0)</f>
        <v>0</v>
      </c>
      <c r="Y137" s="52">
        <f>IF(Y109=1,IF(X122=1,1,0),0)</f>
        <v>0</v>
      </c>
      <c r="Z137" s="48">
        <f>IF(Z109=1,IF(AA122=1,1,0),0)</f>
        <v>0</v>
      </c>
      <c r="AB137" s="52">
        <f>IF(AB109=1,IF(AA122=1,1,0),0)</f>
        <v>0</v>
      </c>
      <c r="AC137" s="48">
        <f>IF(AC109=1,IF(AD122=1,1,0),0)</f>
        <v>0</v>
      </c>
      <c r="AE137" s="52">
        <f>IF(AE109=1,IF(AD122=1,1,0),0)</f>
        <v>0</v>
      </c>
      <c r="AF137" s="48">
        <f>SUM(B137:AE137)</f>
        <v>3</v>
      </c>
    </row>
    <row r="138" spans="1:37" s="48" customFormat="1" ht="12.75" customHeight="1" x14ac:dyDescent="0.25">
      <c r="A138" s="48" t="s">
        <v>84</v>
      </c>
      <c r="B138" s="48">
        <f>IF(B109=2,IF(C122=1,1,0),0)</f>
        <v>1</v>
      </c>
      <c r="D138" s="52">
        <f>IF(D109=2,IF(C122=1,1,0),0)</f>
        <v>0</v>
      </c>
      <c r="E138" s="48">
        <f>IF(E109=2,IF(F122=1,1,0),0)</f>
        <v>0</v>
      </c>
      <c r="G138" s="52">
        <f>IF(G109=2,IF(F122=1,1,0),0)</f>
        <v>0</v>
      </c>
      <c r="H138" s="48">
        <f>IF(H109=2,IF(I122=1,1,0),0)</f>
        <v>1</v>
      </c>
      <c r="J138" s="52">
        <f>IF(J109=2,IF(I122=1,1,0),0)</f>
        <v>0</v>
      </c>
      <c r="K138" s="48">
        <f>IF(K109=2,IF(L122=1,1,0),0)</f>
        <v>0</v>
      </c>
      <c r="M138" s="52">
        <f>IF(M109=2,IF(L122=1,1,0),0)</f>
        <v>0</v>
      </c>
      <c r="N138" s="48">
        <f>IF(N109=2,IF(O122=1,1,0),0)</f>
        <v>0</v>
      </c>
      <c r="P138" s="52">
        <f>IF(P109=2,IF(O122=1,1,0),0)</f>
        <v>0</v>
      </c>
      <c r="Q138" s="48">
        <f>IF(Q109=2,IF(R122=1,1,0),0)</f>
        <v>0</v>
      </c>
      <c r="S138" s="52">
        <f>IF(S109=2,IF(R122=1,1,0),0)</f>
        <v>1</v>
      </c>
      <c r="T138" s="48">
        <f>IF(T109=2,IF(U122=1,1,0),0)</f>
        <v>0</v>
      </c>
      <c r="V138" s="52">
        <f>IF(V109=2,IF(U122=1,1,0),0)</f>
        <v>0</v>
      </c>
      <c r="W138" s="48">
        <f>IF(W109=2,IF(X122=1,1,0),0)</f>
        <v>0</v>
      </c>
      <c r="Y138" s="52">
        <f>IF(Y109=2,IF(X122=1,1,0),0)</f>
        <v>0</v>
      </c>
      <c r="Z138" s="48">
        <f>IF(Z109=2,IF(AA122=1,1,0),0)</f>
        <v>0</v>
      </c>
      <c r="AB138" s="52">
        <f>IF(AB109=2,IF(AA122=1,1,0),0)</f>
        <v>0</v>
      </c>
      <c r="AC138" s="48">
        <f>IF(AC109=2,IF(AD122=1,1,0),0)</f>
        <v>0</v>
      </c>
      <c r="AE138" s="52">
        <f>IF(AE109=2,IF(AD122=1,1,0),0)</f>
        <v>0</v>
      </c>
      <c r="AF138" s="48">
        <f>SUM(B138:AE138)</f>
        <v>3</v>
      </c>
    </row>
    <row r="139" spans="1:37" s="48" customFormat="1" ht="12.75" customHeight="1" x14ac:dyDescent="0.25">
      <c r="A139" s="48" t="s">
        <v>85</v>
      </c>
      <c r="B139" s="48">
        <f>IF(B109=3,IF(C122=1,1,0),0)</f>
        <v>0</v>
      </c>
      <c r="D139" s="52">
        <f>IF(D109=3,IF(C122=1,1,0),0)</f>
        <v>1</v>
      </c>
      <c r="E139" s="48">
        <f>IF(E109=3,IF(F122=1,1,0),0)</f>
        <v>0</v>
      </c>
      <c r="G139" s="52">
        <f>IF(G109=3,IF(F122=1,1,0),0)</f>
        <v>0</v>
      </c>
      <c r="H139" s="48">
        <f>IF(H109=3,IF(I122=1,1,0),0)</f>
        <v>0</v>
      </c>
      <c r="J139" s="52">
        <f>IF(J109=3,IF(I122=1,1,0),0)</f>
        <v>0</v>
      </c>
      <c r="K139" s="48">
        <f>IF(K109=3,IF(L122=1,1,0),0)</f>
        <v>0</v>
      </c>
      <c r="M139" s="52">
        <f>IF(M109=3,IF(L122=1,1,0),0)</f>
        <v>1</v>
      </c>
      <c r="N139" s="48">
        <f>IF(N109=3,IF(O122=1,1,0),0)</f>
        <v>1</v>
      </c>
      <c r="P139" s="52">
        <f>IF(P109=3,IF(O122=1,1,0),0)</f>
        <v>0</v>
      </c>
      <c r="Q139" s="48">
        <f>IF(Q109=3,IF(R122=1,1,0),0)</f>
        <v>0</v>
      </c>
      <c r="S139" s="52">
        <f>IF(S109=3,IF(R122=1,1,0),0)</f>
        <v>0</v>
      </c>
      <c r="T139" s="48">
        <f>IF(T109=3,IF(U122=1,1,0),0)</f>
        <v>0</v>
      </c>
      <c r="V139" s="52">
        <f>IF(V109=3,IF(U122=1,1,0),0)</f>
        <v>0</v>
      </c>
      <c r="W139" s="48">
        <f>IF(W109=3,IF(X122=1,1,0),0)</f>
        <v>0</v>
      </c>
      <c r="Y139" s="52">
        <f>IF(Y109=3,IF(X122=1,1,0),0)</f>
        <v>0</v>
      </c>
      <c r="Z139" s="48">
        <f>IF(Z109=3,IF(AA122=1,1,0),0)</f>
        <v>0</v>
      </c>
      <c r="AB139" s="52">
        <f>IF(AB109=3,IF(AA122=1,1,0),0)</f>
        <v>0</v>
      </c>
      <c r="AC139" s="48">
        <f>IF(AC109=3,IF(AD122=1,1,0),0)</f>
        <v>0</v>
      </c>
      <c r="AE139" s="52">
        <f>IF(AE109=3,IF(AD122=1,1,0),0)</f>
        <v>0</v>
      </c>
      <c r="AF139" s="48">
        <f>SUM(B139:AE139)</f>
        <v>3</v>
      </c>
    </row>
    <row r="140" spans="1:37" s="48" customFormat="1" ht="12.75" customHeight="1" x14ac:dyDescent="0.25">
      <c r="A140" s="48" t="s">
        <v>86</v>
      </c>
      <c r="B140" s="48">
        <f>IF(B109=4,IF(C122=1,1,0),0)</f>
        <v>0</v>
      </c>
      <c r="D140" s="52">
        <f>IF(D109=4,IF(C122=1,1,0),0)</f>
        <v>0</v>
      </c>
      <c r="E140" s="48">
        <f>IF(E109=4,IF(F122=1,1,0),0)</f>
        <v>0</v>
      </c>
      <c r="G140" s="52">
        <f>IF(G109=4,IF(F122=1,1,0),0)</f>
        <v>1</v>
      </c>
      <c r="H140" s="48">
        <f>IF(H109=4,IF(I122=1,1,0),0)</f>
        <v>0</v>
      </c>
      <c r="J140" s="52">
        <f>IF(J109=4,IF(I122=1,1,0),0)</f>
        <v>1</v>
      </c>
      <c r="K140" s="48">
        <f>IF(K109=4,IF(L122=1,1,0),0)</f>
        <v>0</v>
      </c>
      <c r="M140" s="52">
        <f>IF(M109=4,IF(L122=1,1,0),0)</f>
        <v>0</v>
      </c>
      <c r="N140" s="48">
        <f>IF(N109=4,IF(O122=1,1,0),0)</f>
        <v>0</v>
      </c>
      <c r="P140" s="52">
        <f>IF(P109=4,IF(O122=1,1,0),0)</f>
        <v>1</v>
      </c>
      <c r="Q140" s="48">
        <f>IF(Q109=4,IF(R122=1,1,0),0)</f>
        <v>0</v>
      </c>
      <c r="S140" s="52">
        <f>IF(S109=4,IF(R122=1,1,0),0)</f>
        <v>0</v>
      </c>
      <c r="T140" s="48">
        <f>IF(T109=4,IF(U122=1,1,0),0)</f>
        <v>0</v>
      </c>
      <c r="V140" s="52">
        <f>IF(V109=4,IF(U122=1,1,0),0)</f>
        <v>0</v>
      </c>
      <c r="W140" s="48">
        <f>IF(W109=4,IF(X122=1,1,0),0)</f>
        <v>0</v>
      </c>
      <c r="Y140" s="52">
        <f>IF(Y109=4,IF(X122=1,1,0),0)</f>
        <v>0</v>
      </c>
      <c r="Z140" s="48">
        <f>IF(Z109=4,IF(AA122=1,1,0),0)</f>
        <v>0</v>
      </c>
      <c r="AB140" s="52">
        <f>IF(AB109=4,IF(AA122=1,1,0),0)</f>
        <v>0</v>
      </c>
      <c r="AC140" s="48">
        <f>IF(AC109=4,IF(AD122=1,1,0),0)</f>
        <v>0</v>
      </c>
      <c r="AE140" s="52">
        <f>IF(AE109=4,IF(AD122=1,1,0),0)</f>
        <v>0</v>
      </c>
      <c r="AF140" s="48">
        <f>SUM(B140:AE140)</f>
        <v>3</v>
      </c>
    </row>
    <row r="141" spans="1:37" s="48" customFormat="1" ht="12.75" customHeight="1" x14ac:dyDescent="0.25">
      <c r="A141" s="48" t="s">
        <v>87</v>
      </c>
      <c r="B141" s="48">
        <f>IF(B109=5,IF(C122=1,1,0),0)</f>
        <v>0</v>
      </c>
      <c r="D141" s="52">
        <f>IF(D109=5,IF(C122=1,1,0),0)</f>
        <v>0</v>
      </c>
      <c r="E141" s="48">
        <f>IF(E109=5,IF(F122=1,1,0),0)</f>
        <v>0</v>
      </c>
      <c r="G141" s="52">
        <f>IF(G109=5,IF(F122=1,1,0),0)</f>
        <v>0</v>
      </c>
      <c r="H141" s="48">
        <f>IF(H109=5,IF(I122=1,1,0),0)</f>
        <v>0</v>
      </c>
      <c r="J141" s="52">
        <f>IF(J109=5,IF(I122=1,1,0),0)</f>
        <v>0</v>
      </c>
      <c r="K141" s="48">
        <f>IF(K109=5,IF(L122=1,1,0),0)</f>
        <v>0</v>
      </c>
      <c r="M141" s="52">
        <f>IF(M109=5,IF(L122=1,1,0),0)</f>
        <v>0</v>
      </c>
      <c r="N141" s="48">
        <f>IF(N109=5,IF(O122=1,1,0),0)</f>
        <v>0</v>
      </c>
      <c r="P141" s="52">
        <f>IF(P109=5,IF(O122=1,1,0),0)</f>
        <v>0</v>
      </c>
      <c r="Q141" s="48">
        <f>IF(Q109=5,IF(R122=1,1,0),0)</f>
        <v>0</v>
      </c>
      <c r="S141" s="52">
        <f>IF(S109=5,IF(R122=1,1,0),0)</f>
        <v>0</v>
      </c>
      <c r="T141" s="48">
        <f>IF(T109=5,IF(U122=1,1,0),0)</f>
        <v>0</v>
      </c>
      <c r="V141" s="52">
        <f>IF(V109=5,IF(U122=1,1,0),0)</f>
        <v>0</v>
      </c>
      <c r="W141" s="48">
        <f>IF(W109=5,IF(X122=1,1,0),0)</f>
        <v>0</v>
      </c>
      <c r="Y141" s="52">
        <f>IF(Y109=5,IF(X122=1,1,0),0)</f>
        <v>0</v>
      </c>
      <c r="Z141" s="48">
        <f>IF(Z109=5,IF(AA122=1,1,0),0)</f>
        <v>0</v>
      </c>
      <c r="AB141" s="52">
        <f>IF(AB109=5,IF(AA122=1,1,0),0)</f>
        <v>0</v>
      </c>
      <c r="AC141" s="48">
        <f>IF(AC109=5,IF(AD122=1,1,0),0)</f>
        <v>0</v>
      </c>
      <c r="AE141" s="52">
        <f>IF(AE109=5,IF(AD122=1,1,0),0)</f>
        <v>0</v>
      </c>
      <c r="AF141" s="48">
        <f>SUM(B141:AE141)</f>
        <v>0</v>
      </c>
    </row>
    <row r="142" spans="1:37" s="48" customFormat="1" ht="38.25" customHeight="1" x14ac:dyDescent="0.25">
      <c r="A142" s="51"/>
      <c r="D142" s="52"/>
      <c r="G142" s="52"/>
      <c r="J142" s="52"/>
      <c r="M142" s="52"/>
      <c r="P142" s="52"/>
      <c r="S142" s="52"/>
      <c r="V142" s="52"/>
      <c r="Y142" s="52"/>
      <c r="AB142" s="52"/>
      <c r="AE142" s="52"/>
      <c r="AF142" s="51" t="s">
        <v>88</v>
      </c>
      <c r="AG142" s="150"/>
      <c r="AH142" s="150"/>
      <c r="AI142" s="150"/>
      <c r="AJ142" s="150"/>
      <c r="AK142" s="150"/>
    </row>
    <row r="143" spans="1:37" s="48" customFormat="1" ht="12.75" customHeight="1" x14ac:dyDescent="0.25">
      <c r="A143" s="48" t="s">
        <v>83</v>
      </c>
      <c r="B143" s="48">
        <f>IF(B109=1,B129,0)</f>
        <v>0</v>
      </c>
      <c r="D143" s="52">
        <f>IF(D109=1,B129,0)</f>
        <v>0</v>
      </c>
      <c r="E143" s="48">
        <f>IF(E109=1,E129,0)</f>
        <v>23</v>
      </c>
      <c r="G143" s="52">
        <f>IF(G109=1,E129,0)</f>
        <v>0</v>
      </c>
      <c r="H143" s="48">
        <f>IF(H109=1,H129,0)</f>
        <v>0</v>
      </c>
      <c r="J143" s="52">
        <f>IF(J109=1,H129,0)</f>
        <v>0</v>
      </c>
      <c r="K143" s="48">
        <f>IF(K109=1,K129,0)</f>
        <v>18</v>
      </c>
      <c r="M143" s="52">
        <f>IF(M109=1,K129,0)</f>
        <v>0</v>
      </c>
      <c r="N143" s="48">
        <f>IF(N109=1,N129,0)</f>
        <v>0</v>
      </c>
      <c r="P143" s="52">
        <f>IF(P109=1,N129,0)</f>
        <v>0</v>
      </c>
      <c r="Q143" s="48">
        <f>IF(Q109=1,Q129,0)</f>
        <v>28</v>
      </c>
      <c r="S143" s="52">
        <f>IF(S109=1,Q129,0)</f>
        <v>0</v>
      </c>
      <c r="T143" s="48">
        <f>IF(T109=1,T129,0)</f>
        <v>0</v>
      </c>
      <c r="V143" s="52">
        <f>IF(V109=1,T129,0)</f>
        <v>0</v>
      </c>
      <c r="W143" s="48">
        <f>IF(W109=1,W129,0)</f>
        <v>0</v>
      </c>
      <c r="Y143" s="52">
        <f>IF(Y109=1,W129,0)</f>
        <v>0</v>
      </c>
      <c r="Z143" s="48">
        <f>IF(Z109=1,Z129,0)</f>
        <v>0</v>
      </c>
      <c r="AB143" s="52">
        <f>IF(AB109=1,Z129,0)</f>
        <v>0</v>
      </c>
      <c r="AC143" s="48">
        <f>IF(AC109=1,AC129,0)</f>
        <v>0</v>
      </c>
      <c r="AE143" s="52">
        <f>IF(AE109=1,AC129,0)</f>
        <v>0</v>
      </c>
      <c r="AF143" s="48">
        <f>SUM(B143:AE143)</f>
        <v>69</v>
      </c>
    </row>
    <row r="144" spans="1:37" s="48" customFormat="1" ht="12.75" customHeight="1" x14ac:dyDescent="0.25">
      <c r="A144" s="48" t="s">
        <v>84</v>
      </c>
      <c r="B144" s="48">
        <f>IF(B109=2,B129,0)</f>
        <v>19</v>
      </c>
      <c r="D144" s="52">
        <f>IF(D109=2,B129,0)</f>
        <v>0</v>
      </c>
      <c r="E144" s="48">
        <f>IF(E109=2,E129,0)</f>
        <v>0</v>
      </c>
      <c r="G144" s="52">
        <f>IF(G109=2,E129,0)</f>
        <v>0</v>
      </c>
      <c r="H144" s="48">
        <f>IF(H109=2,H129,0)</f>
        <v>23</v>
      </c>
      <c r="J144" s="52">
        <f>IF(J109=2,H129,0)</f>
        <v>0</v>
      </c>
      <c r="K144" s="48">
        <f>IF(K109=2,K129,0)</f>
        <v>0</v>
      </c>
      <c r="M144" s="52">
        <f>IF(M109=2,K129,0)</f>
        <v>0</v>
      </c>
      <c r="N144" s="48">
        <f>IF(N109=2,N129,0)</f>
        <v>0</v>
      </c>
      <c r="P144" s="52">
        <f>IF(P109=2,N129,0)</f>
        <v>0</v>
      </c>
      <c r="Q144" s="48">
        <f>IF(Q109=2,Q129,0)</f>
        <v>0</v>
      </c>
      <c r="S144" s="52">
        <f>IF(S109=2,Q129,0)</f>
        <v>28</v>
      </c>
      <c r="T144" s="48">
        <f>IF(T109=2,T129,0)</f>
        <v>0</v>
      </c>
      <c r="V144" s="52">
        <f>IF(V109=2,T129,0)</f>
        <v>0</v>
      </c>
      <c r="W144" s="48">
        <f>IF(W109=2,W129,0)</f>
        <v>0</v>
      </c>
      <c r="Y144" s="52">
        <f>IF(Y109=2,W129,0)</f>
        <v>0</v>
      </c>
      <c r="Z144" s="48">
        <f>IF(Z109=2,Z129,0)</f>
        <v>0</v>
      </c>
      <c r="AB144" s="52">
        <f>IF(AB109=2,Z129,0)</f>
        <v>0</v>
      </c>
      <c r="AC144" s="48">
        <f>IF(AC109=2,AC129,0)</f>
        <v>0</v>
      </c>
      <c r="AE144" s="52">
        <f>IF(AE109=2,AC129,0)</f>
        <v>0</v>
      </c>
      <c r="AF144" s="48">
        <f>SUM(B144:AE144)</f>
        <v>70</v>
      </c>
    </row>
    <row r="145" spans="1:33" s="48" customFormat="1" ht="12.75" customHeight="1" x14ac:dyDescent="0.25">
      <c r="A145" s="48" t="s">
        <v>85</v>
      </c>
      <c r="B145" s="48">
        <f>IF(B109=3,B129,0)</f>
        <v>0</v>
      </c>
      <c r="D145" s="52">
        <f>IF(D109=3,B129,0)</f>
        <v>19</v>
      </c>
      <c r="E145" s="48">
        <f>IF(E109=3,E129,0)</f>
        <v>0</v>
      </c>
      <c r="G145" s="52">
        <f>IF(G109=3,E129,0)</f>
        <v>0</v>
      </c>
      <c r="H145" s="48">
        <f>IF(H109=3,H129,0)</f>
        <v>0</v>
      </c>
      <c r="J145" s="52">
        <f>IF(J109=3,H129,0)</f>
        <v>0</v>
      </c>
      <c r="K145" s="48">
        <f>IF(K109=3,K129,0)</f>
        <v>0</v>
      </c>
      <c r="M145" s="52">
        <f>IF(M109=3,K129,0)</f>
        <v>18</v>
      </c>
      <c r="N145" s="48">
        <f>IF(N109=3,N129,0)</f>
        <v>17</v>
      </c>
      <c r="P145" s="52">
        <f>IF(P109=3,N129,0)</f>
        <v>0</v>
      </c>
      <c r="Q145" s="48">
        <f>IF(Q109=3,Q129,0)</f>
        <v>0</v>
      </c>
      <c r="S145" s="52">
        <f>IF(S109=3,Q129,0)</f>
        <v>0</v>
      </c>
      <c r="T145" s="48">
        <f>IF(T109=3,T129,0)</f>
        <v>0</v>
      </c>
      <c r="V145" s="52">
        <f>IF(V109=3,T129,0)</f>
        <v>0</v>
      </c>
      <c r="W145" s="48">
        <f>IF(W109=3,W129,0)</f>
        <v>0</v>
      </c>
      <c r="Y145" s="52">
        <f>IF(Y109=3,W129,0)</f>
        <v>0</v>
      </c>
      <c r="Z145" s="48">
        <f>IF(Z109=3,Z129,0)</f>
        <v>0</v>
      </c>
      <c r="AB145" s="52">
        <f>IF(AB109=3,Z129,0)</f>
        <v>0</v>
      </c>
      <c r="AC145" s="48">
        <f>IF(AC109=3,AC129,0)</f>
        <v>0</v>
      </c>
      <c r="AE145" s="52">
        <f>IF(AE109=3,AC129,0)</f>
        <v>0</v>
      </c>
      <c r="AF145" s="48">
        <f>SUM(B145:AE145)</f>
        <v>54</v>
      </c>
    </row>
    <row r="146" spans="1:33" s="48" customFormat="1" ht="12.75" customHeight="1" x14ac:dyDescent="0.25">
      <c r="A146" s="48" t="s">
        <v>86</v>
      </c>
      <c r="B146" s="48">
        <f>IF(B109=4,B129,0)</f>
        <v>0</v>
      </c>
      <c r="D146" s="52">
        <f>IF(D109=4,B129,0)</f>
        <v>0</v>
      </c>
      <c r="E146" s="48">
        <f>IF(E109=4,E129,0)</f>
        <v>0</v>
      </c>
      <c r="G146" s="52">
        <f>IF(G109=4,E129,0)</f>
        <v>23</v>
      </c>
      <c r="H146" s="48">
        <f>IF(H109=4,H129,0)</f>
        <v>0</v>
      </c>
      <c r="J146" s="52">
        <f>IF(J109=4,H129,0)</f>
        <v>23</v>
      </c>
      <c r="K146" s="48">
        <f>IF(K109=4,K129,0)</f>
        <v>0</v>
      </c>
      <c r="M146" s="52">
        <f>IF(M109=4,K129,0)</f>
        <v>0</v>
      </c>
      <c r="N146" s="48">
        <f>IF(N109=4,N129,0)</f>
        <v>0</v>
      </c>
      <c r="P146" s="52">
        <f>IF(P109=4,N129,0)</f>
        <v>17</v>
      </c>
      <c r="Q146" s="48">
        <f>IF(Q109=4,Q129,0)</f>
        <v>0</v>
      </c>
      <c r="S146" s="52">
        <f>IF(S109=4,Q129,0)</f>
        <v>0</v>
      </c>
      <c r="T146" s="48">
        <f>IF(T109=4,T129,0)</f>
        <v>0</v>
      </c>
      <c r="V146" s="52">
        <f>IF(V109=4,T129,0)</f>
        <v>0</v>
      </c>
      <c r="W146" s="48">
        <f>IF(W109=4,W129,0)</f>
        <v>0</v>
      </c>
      <c r="Y146" s="52">
        <f>IF(Y109=4,W129,0)</f>
        <v>0</v>
      </c>
      <c r="Z146" s="48">
        <f>IF(Z109=4,Z129,0)</f>
        <v>0</v>
      </c>
      <c r="AB146" s="52">
        <f>IF(AB109=4,Z129,0)</f>
        <v>0</v>
      </c>
      <c r="AC146" s="48">
        <f>IF(AC109=4,AC129,0)</f>
        <v>0</v>
      </c>
      <c r="AE146" s="52">
        <f>IF(AE109=4,AC129,0)</f>
        <v>0</v>
      </c>
      <c r="AF146" s="48">
        <f>SUM(B146:AE146)</f>
        <v>63</v>
      </c>
    </row>
    <row r="147" spans="1:33" s="48" customFormat="1" ht="12.75" customHeight="1" x14ac:dyDescent="0.25">
      <c r="A147" s="48" t="s">
        <v>87</v>
      </c>
      <c r="B147" s="48">
        <f>IF(B109=5,B129,0)</f>
        <v>0</v>
      </c>
      <c r="D147" s="52">
        <f>IF(D109=5,B129,0)</f>
        <v>0</v>
      </c>
      <c r="E147" s="48">
        <f>IF(E109=5,E129,0)</f>
        <v>0</v>
      </c>
      <c r="G147" s="52">
        <f>IF(G109=5,E129,0)</f>
        <v>0</v>
      </c>
      <c r="H147" s="48">
        <f>IF(H109=5,H129,0)</f>
        <v>0</v>
      </c>
      <c r="J147" s="52">
        <f>IF(J109=5,H129,0)</f>
        <v>0</v>
      </c>
      <c r="K147" s="48">
        <f>IF(K109=5,K129,0)</f>
        <v>0</v>
      </c>
      <c r="M147" s="52">
        <f>IF(M109=5,K129,0)</f>
        <v>0</v>
      </c>
      <c r="N147" s="48">
        <f>IF(N109=5,N129,0)</f>
        <v>0</v>
      </c>
      <c r="P147" s="52">
        <f>IF(P109=5,N129,0)</f>
        <v>0</v>
      </c>
      <c r="Q147" s="48">
        <f>IF(Q109=5,Q129,0)</f>
        <v>0</v>
      </c>
      <c r="S147" s="52">
        <f>IF(S109=5,Q129,0)</f>
        <v>0</v>
      </c>
      <c r="T147" s="48">
        <f>IF(T109=5,T129,0)</f>
        <v>0</v>
      </c>
      <c r="V147" s="52">
        <f>IF(V109=5,T129,0)</f>
        <v>0</v>
      </c>
      <c r="W147" s="48">
        <f>IF(W109=5,W129,0)</f>
        <v>0</v>
      </c>
      <c r="Y147" s="52">
        <f>IF(Y109=5,W129,0)</f>
        <v>0</v>
      </c>
      <c r="Z147" s="48">
        <f>IF(Z109=5,Z129,0)</f>
        <v>0</v>
      </c>
      <c r="AB147" s="52">
        <f>IF(AB109=5,Z129,0)</f>
        <v>0</v>
      </c>
      <c r="AC147" s="48">
        <f>IF(AC109=5,AC129,0)</f>
        <v>0</v>
      </c>
      <c r="AE147" s="52">
        <f>IF(AE109=5,AC129,0)</f>
        <v>0</v>
      </c>
      <c r="AF147" s="48">
        <f>SUM(B147:AE147)</f>
        <v>0</v>
      </c>
    </row>
    <row r="148" spans="1:33" s="48" customFormat="1" ht="38.25" customHeight="1" x14ac:dyDescent="0.25">
      <c r="A148" s="48" t="s">
        <v>89</v>
      </c>
      <c r="D148" s="52"/>
      <c r="G148" s="52"/>
      <c r="J148" s="52"/>
      <c r="M148" s="52"/>
      <c r="P148" s="52"/>
      <c r="S148" s="52"/>
      <c r="V148" s="52"/>
      <c r="Y148" s="52"/>
      <c r="AB148" s="52"/>
      <c r="AE148" s="52"/>
      <c r="AF148" s="51" t="s">
        <v>90</v>
      </c>
      <c r="AG148" s="48" t="s">
        <v>91</v>
      </c>
    </row>
    <row r="149" spans="1:33" s="48" customFormat="1" ht="12.75" customHeight="1" x14ac:dyDescent="0.25">
      <c r="A149" s="48" t="s">
        <v>77</v>
      </c>
      <c r="B149" s="48">
        <f>IF(B109=1,SUMIF(B116:B120,"&gt;0"),0)</f>
        <v>0</v>
      </c>
      <c r="D149" s="52">
        <f>IF(D109=1,SUMIF(D116:D120,"&gt;0"),0)</f>
        <v>0</v>
      </c>
      <c r="E149" s="48">
        <f>IF(E109=1,SUMIF(E116:E120,"&gt;0"),0)</f>
        <v>1</v>
      </c>
      <c r="G149" s="52">
        <f>IF(G109=1,SUMIF(G116:G120,"&gt;0"),0)</f>
        <v>0</v>
      </c>
      <c r="H149" s="48">
        <f>IF(H109=1,SUMIF(H116:H120,"&gt;0"),0)</f>
        <v>0</v>
      </c>
      <c r="J149" s="52">
        <f>IF(J109=1,SUMIF(J116:J120,"&gt;0"),0)</f>
        <v>0</v>
      </c>
      <c r="K149" s="48">
        <f>IF(K109=1,SUMIF(K116:K120,"&gt;0"),0)</f>
        <v>0</v>
      </c>
      <c r="M149" s="52">
        <f>IF(M109=1,SUMIF(M116:M120,"&gt;0"),0)</f>
        <v>0</v>
      </c>
      <c r="N149" s="48">
        <f>IF(N109=1,SUMIF(N116:N120,"&gt;0"),0)</f>
        <v>0</v>
      </c>
      <c r="P149" s="52">
        <f>IF(P109=1,SUMIF(P116:P120,"&gt;0"),0)</f>
        <v>0</v>
      </c>
      <c r="Q149" s="48">
        <f>IF(Q109=1,SUMIF(Q116:Q120,"&gt;0"),0)</f>
        <v>0</v>
      </c>
      <c r="S149" s="52">
        <f>IF(S109=1,SUMIF(S116:S120,"&gt;0"),0)</f>
        <v>0</v>
      </c>
      <c r="T149" s="48">
        <f>IF(T109=1,SUMIF(T116:T120,"&gt;0"),0)</f>
        <v>0</v>
      </c>
      <c r="V149" s="52">
        <f>IF(V109=1,SUMIF(V116:V120,"&gt;0"),0)</f>
        <v>0</v>
      </c>
      <c r="W149" s="48">
        <f>IF(W109=1,SUMIF(W116:W120,"&gt;0"),0)</f>
        <v>0</v>
      </c>
      <c r="Y149" s="52">
        <f>IF(Y109=1,SUMIF(Y116:Y120,"&gt;0"),0)</f>
        <v>0</v>
      </c>
      <c r="Z149" s="48">
        <f>IF(Z109=1,SUMIF(Z116:Z120,"&gt;0"),0)</f>
        <v>0</v>
      </c>
      <c r="AB149" s="52">
        <f>IF(AB109=1,SUMIF(AB116:AB120,"&gt;0"),0)</f>
        <v>0</v>
      </c>
      <c r="AC149" s="48">
        <f>IF(AC109=1,SUMIF(AC116:AC120,"&gt;0"),0)</f>
        <v>0</v>
      </c>
      <c r="AE149" s="52">
        <f>IF(AE109=1,SUMIF(AE116:AE120,"&gt;0"),0)</f>
        <v>0</v>
      </c>
      <c r="AF149" s="48">
        <f>SUM(B149:AE149)</f>
        <v>1</v>
      </c>
      <c r="AG149" s="48">
        <f>AF157-AF149</f>
        <v>2</v>
      </c>
    </row>
    <row r="150" spans="1:33" s="48" customFormat="1" ht="12.75" customHeight="1" x14ac:dyDescent="0.25">
      <c r="A150" s="48" t="s">
        <v>78</v>
      </c>
      <c r="B150" s="48">
        <f>IF(B109=2,SUMIF(B116:B120,"&gt;0"),0)</f>
        <v>1</v>
      </c>
      <c r="D150" s="52">
        <f>IF(D109=2,SUMIF(D116:D120,"&gt;0"),0)</f>
        <v>0</v>
      </c>
      <c r="E150" s="48">
        <f>IF(E109=2,SUMIF(E116:E120,"&gt;0"),0)</f>
        <v>0</v>
      </c>
      <c r="G150" s="52">
        <f>IF(G109=2,SUMIF(G116:G120,"&gt;0"),0)</f>
        <v>0</v>
      </c>
      <c r="H150" s="48">
        <f>IF(H109=2,SUMIF(H116:H120,"&gt;0"),0)</f>
        <v>1</v>
      </c>
      <c r="J150" s="52">
        <f>IF(J109=2,SUMIF(J116:J120,"&gt;0"),0)</f>
        <v>0</v>
      </c>
      <c r="K150" s="48">
        <f>IF(K109=2,SUMIF(K116:K120,"&gt;0"),0)</f>
        <v>0</v>
      </c>
      <c r="M150" s="52">
        <f>IF(M109=2,SUMIF(M116:M120,"&gt;0"),0)</f>
        <v>0</v>
      </c>
      <c r="N150" s="48">
        <f>IF(N109=2,SUMIF(N116:N120,"&gt;0"),0)</f>
        <v>0</v>
      </c>
      <c r="P150" s="52">
        <f>IF(P109=2,SUMIF(P116:P120,"&gt;0"),0)</f>
        <v>0</v>
      </c>
      <c r="Q150" s="48">
        <f>IF(Q109=2,SUMIF(Q116:Q120,"&gt;0"),0)</f>
        <v>0</v>
      </c>
      <c r="S150" s="52">
        <f>IF(S109=2,SUMIF(S116:S120,"&gt;0"),0)</f>
        <v>1</v>
      </c>
      <c r="T150" s="48">
        <f>IF(T109=2,SUMIF(T116:T120,"&gt;0"),0)</f>
        <v>0</v>
      </c>
      <c r="V150" s="52">
        <f>IF(V109=2,SUMIF(V116:V120,"&gt;0"),0)</f>
        <v>0</v>
      </c>
      <c r="W150" s="48">
        <f>IF(W109=2,SUMIF(W116:W120,"&gt;0"),0)</f>
        <v>0</v>
      </c>
      <c r="Y150" s="52">
        <f>IF(Y109=2,SUMIF(Y116:Y120,"&gt;0"),0)</f>
        <v>0</v>
      </c>
      <c r="Z150" s="48">
        <f>IF(Z109=2,SUMIF(Z116:Z120,"&gt;0"),0)</f>
        <v>0</v>
      </c>
      <c r="AB150" s="52">
        <f>IF(AB109=2,SUMIF(AB116:AB120,"&gt;0"),0)</f>
        <v>0</v>
      </c>
      <c r="AC150" s="48">
        <f>IF(AC109=2,SUMIF(AC116:AC120,"&gt;0"),0)</f>
        <v>0</v>
      </c>
      <c r="AE150" s="52">
        <f>IF(AE109=2,SUMIF(AE116:AE120,"&gt;0"),0)</f>
        <v>0</v>
      </c>
      <c r="AF150" s="48">
        <f>SUM(B150:AE150)</f>
        <v>3</v>
      </c>
      <c r="AG150" s="48">
        <f>AF158-AF150</f>
        <v>0</v>
      </c>
    </row>
    <row r="151" spans="1:33" s="48" customFormat="1" ht="12.75" customHeight="1" x14ac:dyDescent="0.25">
      <c r="A151" s="48" t="s">
        <v>79</v>
      </c>
      <c r="B151" s="48">
        <f>IF(B109=3,SUMIF(B116:B120,"&gt;0"),0)</f>
        <v>0</v>
      </c>
      <c r="D151" s="52">
        <f>IF(D109=3,SUMIF(D116:D120,"&gt;0"),0)</f>
        <v>0</v>
      </c>
      <c r="E151" s="48">
        <f>IF(E109=3,SUMIF(E116:E120,"&gt;0"),0)</f>
        <v>0</v>
      </c>
      <c r="G151" s="52">
        <f>IF(G109=3,SUMIF(G116:G120,"&gt;0"),0)</f>
        <v>0</v>
      </c>
      <c r="H151" s="48">
        <f>IF(H109=3,SUMIF(H116:H120,"&gt;0"),0)</f>
        <v>0</v>
      </c>
      <c r="J151" s="52">
        <f>IF(J109=3,SUMIF(J116:J120,"&gt;0"),0)</f>
        <v>0</v>
      </c>
      <c r="K151" s="48">
        <f>IF(K109=3,SUMIF(K116:K120,"&gt;0"),0)</f>
        <v>0</v>
      </c>
      <c r="M151" s="52">
        <f>IF(M109=3,SUMIF(M116:M120,"&gt;0"),0)</f>
        <v>1</v>
      </c>
      <c r="N151" s="48">
        <f>IF(N109=3,SUMIF(N116:N120,"&gt;0"),0)</f>
        <v>0</v>
      </c>
      <c r="P151" s="52">
        <f>IF(P109=3,SUMIF(P116:P120,"&gt;0"),0)</f>
        <v>0</v>
      </c>
      <c r="Q151" s="48">
        <f>IF(Q109=3,SUMIF(Q116:Q120,"&gt;0"),0)</f>
        <v>0</v>
      </c>
      <c r="S151" s="52">
        <f>IF(S109=3,SUMIF(S116:S120,"&gt;0"),0)</f>
        <v>0</v>
      </c>
      <c r="T151" s="48">
        <f>IF(T109=3,SUMIF(T116:T120,"&gt;0"),0)</f>
        <v>0</v>
      </c>
      <c r="V151" s="52">
        <f>IF(V109=3,SUMIF(V116:V120,"&gt;0"),0)</f>
        <v>0</v>
      </c>
      <c r="W151" s="48">
        <f>IF(W109=3,SUMIF(W116:W120,"&gt;0"),0)</f>
        <v>0</v>
      </c>
      <c r="Y151" s="52">
        <f>IF(Y109=3,SUMIF(Y116:Y120,"&gt;0"),0)</f>
        <v>0</v>
      </c>
      <c r="Z151" s="48">
        <f>IF(Z109=3,SUMIF(Z116:Z120,"&gt;0"),0)</f>
        <v>0</v>
      </c>
      <c r="AB151" s="52">
        <f>IF(AB109=3,SUMIF(AB116:AB120,"&gt;0"),0)</f>
        <v>0</v>
      </c>
      <c r="AC151" s="48">
        <f>IF(AC109=3,SUMIF(AC116:AC120,"&gt;0"),0)</f>
        <v>0</v>
      </c>
      <c r="AE151" s="52">
        <f>IF(AE109=3,SUMIF(AE116:AE120,"&gt;0"),0)</f>
        <v>0</v>
      </c>
      <c r="AF151" s="48">
        <f>SUM(B151:AE151)</f>
        <v>1</v>
      </c>
      <c r="AG151" s="48">
        <f>AF159-AF151</f>
        <v>2</v>
      </c>
    </row>
    <row r="152" spans="1:33" s="48" customFormat="1" ht="12.75" customHeight="1" x14ac:dyDescent="0.25">
      <c r="A152" s="48" t="s">
        <v>80</v>
      </c>
      <c r="B152" s="48">
        <f>IF(B109=4,SUMIF(B116:B120,"&gt;0"),0)</f>
        <v>0</v>
      </c>
      <c r="D152" s="52">
        <f>IF(D109=4,SUMIF(D116:D120,"&gt;0"),0)</f>
        <v>0</v>
      </c>
      <c r="E152" s="48">
        <f>IF(E109=4,SUMIF(E116:E120,"&gt;0"),0)</f>
        <v>0</v>
      </c>
      <c r="G152" s="52">
        <f>IF(G109=4,SUMIF(G116:G120,"&gt;0"),0)</f>
        <v>0</v>
      </c>
      <c r="H152" s="48">
        <f>IF(H109=4,SUMIF(H116:H120,"&gt;0"),0)</f>
        <v>0</v>
      </c>
      <c r="J152" s="52">
        <f>IF(J109=4,SUMIF(J116:J120,"&gt;0"),0)</f>
        <v>0</v>
      </c>
      <c r="K152" s="48">
        <f>IF(K109=4,SUMIF(K116:K120,"&gt;0"),0)</f>
        <v>0</v>
      </c>
      <c r="M152" s="52">
        <f>IF(M109=4,SUMIF(M116:M120,"&gt;0"),0)</f>
        <v>0</v>
      </c>
      <c r="N152" s="48">
        <f>IF(N109=4,SUMIF(N116:N120,"&gt;0"),0)</f>
        <v>0</v>
      </c>
      <c r="P152" s="52">
        <f>IF(P109=4,SUMIF(P116:P120,"&gt;0"),0)</f>
        <v>1</v>
      </c>
      <c r="Q152" s="48">
        <f>IF(Q109=4,SUMIF(Q116:Q120,"&gt;0"),0)</f>
        <v>0</v>
      </c>
      <c r="S152" s="52">
        <f>IF(S109=4,SUMIF(S116:S120,"&gt;0"),0)</f>
        <v>0</v>
      </c>
      <c r="T152" s="48">
        <f>IF(T109=4,SUMIF(T116:T120,"&gt;0"),0)</f>
        <v>0</v>
      </c>
      <c r="V152" s="52">
        <f>IF(V109=4,SUMIF(V116:V120,"&gt;0"),0)</f>
        <v>0</v>
      </c>
      <c r="W152" s="48">
        <f>IF(W109=4,SUMIF(W116:W120,"&gt;0"),0)</f>
        <v>0</v>
      </c>
      <c r="Y152" s="52">
        <f>IF(Y109=4,SUMIF(Y116:Y120,"&gt;0"),0)</f>
        <v>0</v>
      </c>
      <c r="Z152" s="48">
        <f>IF(Z109=4,SUMIF(Z116:Z120,"&gt;0"),0)</f>
        <v>0</v>
      </c>
      <c r="AB152" s="52">
        <f>IF(AB109=4,SUMIF(AB116:AB120,"&gt;0"),0)</f>
        <v>0</v>
      </c>
      <c r="AC152" s="48">
        <f>IF(AC109=4,SUMIF(AC116:AC120,"&gt;0"),0)</f>
        <v>0</v>
      </c>
      <c r="AE152" s="52">
        <f>IF(AE109=4,SUMIF(AE116:AE120,"&gt;0"),0)</f>
        <v>0</v>
      </c>
      <c r="AF152" s="48">
        <f>SUM(B152:AE152)</f>
        <v>1</v>
      </c>
      <c r="AG152" s="48">
        <f>AF160-AF152</f>
        <v>2</v>
      </c>
    </row>
    <row r="153" spans="1:33" s="48" customFormat="1" ht="12.75" customHeight="1" x14ac:dyDescent="0.25">
      <c r="A153" s="48" t="s">
        <v>81</v>
      </c>
      <c r="B153" s="48">
        <f>IF(B109=5,SUMIF(B116:B120,"&gt;0"),0)</f>
        <v>0</v>
      </c>
      <c r="D153" s="52">
        <f>IF(D109=5,SUMIF(D116:D120,"&gt;0"),0)</f>
        <v>0</v>
      </c>
      <c r="E153" s="48">
        <f>IF(E109=5,SUMIF(E116:E120,"&gt;0"),0)</f>
        <v>0</v>
      </c>
      <c r="G153" s="52">
        <f>IF(G109=5,SUMIF(G116:G120,"&gt;0"),0)</f>
        <v>0</v>
      </c>
      <c r="H153" s="48">
        <f>IF(H109=5,SUMIF(H116:H120,"&gt;0"),0)</f>
        <v>0</v>
      </c>
      <c r="J153" s="52">
        <f>IF(J109=5,SUMIF(J116:J120,"&gt;0"),0)</f>
        <v>0</v>
      </c>
      <c r="K153" s="48">
        <f>IF(K109=5,SUMIF(K116:K120,"&gt;0"),0)</f>
        <v>0</v>
      </c>
      <c r="M153" s="52">
        <f>IF(M109=5,SUMIF(M116:M120,"&gt;0"),0)</f>
        <v>0</v>
      </c>
      <c r="N153" s="48">
        <f>IF(N109=5,SUMIF(N116:N120,"&gt;0"),0)</f>
        <v>0</v>
      </c>
      <c r="P153" s="52">
        <f>IF(P109=5,SUMIF(P116:P120,"&gt;0"),0)</f>
        <v>0</v>
      </c>
      <c r="Q153" s="48">
        <f>IF(Q109=5,SUMIF(Q116:Q120,"&gt;0"),0)</f>
        <v>0</v>
      </c>
      <c r="S153" s="52">
        <f>IF(S109=5,SUMIF(S116:S120,"&gt;0"),0)</f>
        <v>0</v>
      </c>
      <c r="T153" s="48">
        <f>IF(T109=5,SUMIF(T116:T120,"&gt;0"),0)</f>
        <v>0</v>
      </c>
      <c r="V153" s="52">
        <f>IF(V109=5,SUMIF(V116:V120,"&gt;0"),0)</f>
        <v>0</v>
      </c>
      <c r="W153" s="48">
        <f>IF(W109=5,SUMIF(W116:W120,"&gt;0"),0)</f>
        <v>0</v>
      </c>
      <c r="Y153" s="52">
        <f>IF(Y109=5,SUMIF(Y116:Y120,"&gt;0"),0)</f>
        <v>0</v>
      </c>
      <c r="Z153" s="48">
        <f>IF(Z109=5,SUMIF(Z116:Z120,"&gt;0"),0)</f>
        <v>0</v>
      </c>
      <c r="AB153" s="52">
        <f>IF(AB109=5,SUMIF(AB116:AB120,"&gt;0"),0)</f>
        <v>0</v>
      </c>
      <c r="AC153" s="48">
        <f>IF(AC109=5,SUMIF(AC116:AC120,"&gt;0"),0)</f>
        <v>0</v>
      </c>
      <c r="AE153" s="52">
        <f>IF(AE109=5,SUMIF(AE116:AE120,"&gt;0"),0)</f>
        <v>0</v>
      </c>
      <c r="AF153" s="48">
        <f>SUM(B153:AE153)</f>
        <v>0</v>
      </c>
      <c r="AG153" s="48">
        <f>AF161-AF153</f>
        <v>0</v>
      </c>
    </row>
    <row r="154" spans="1:33" s="48" customFormat="1" ht="12.75" customHeight="1" x14ac:dyDescent="0.25">
      <c r="D154" s="52"/>
      <c r="G154" s="52"/>
      <c r="J154" s="52"/>
      <c r="M154" s="52"/>
      <c r="P154" s="52"/>
      <c r="S154" s="52"/>
      <c r="V154" s="52"/>
      <c r="Y154" s="52"/>
      <c r="AB154" s="52"/>
      <c r="AE154" s="52"/>
    </row>
    <row r="155" spans="1:33" s="48" customFormat="1" ht="12.75" customHeight="1" x14ac:dyDescent="0.25">
      <c r="D155" s="52"/>
      <c r="G155" s="52"/>
      <c r="J155" s="52"/>
      <c r="M155" s="52"/>
      <c r="P155" s="52"/>
      <c r="S155" s="52"/>
      <c r="V155" s="52"/>
      <c r="Y155" s="52"/>
      <c r="AB155" s="52"/>
      <c r="AE155" s="52"/>
    </row>
    <row r="156" spans="1:33" s="48" customFormat="1" ht="51" customHeight="1" x14ac:dyDescent="0.25">
      <c r="A156" s="51" t="s">
        <v>92</v>
      </c>
      <c r="C156" s="48">
        <f>SUMIF(B149:D153,"&gt;0")</f>
        <v>1</v>
      </c>
      <c r="D156" s="52"/>
      <c r="F156" s="48">
        <f>SUMIF(E149:G153,"&gt;0")</f>
        <v>1</v>
      </c>
      <c r="G156" s="52"/>
      <c r="I156" s="48">
        <f>SUMIF(H149:J153,"&gt;0")</f>
        <v>1</v>
      </c>
      <c r="J156" s="52"/>
      <c r="L156" s="48">
        <f>SUMIF(K149:M153,"&gt;0")</f>
        <v>1</v>
      </c>
      <c r="M156" s="52"/>
      <c r="O156" s="48">
        <f>SUMIF(N149:P153,"&gt;0")</f>
        <v>1</v>
      </c>
      <c r="P156" s="52"/>
      <c r="R156" s="48">
        <f>SUMIF(Q149:S153,"&gt;0")</f>
        <v>1</v>
      </c>
      <c r="S156" s="52"/>
      <c r="U156" s="48">
        <f>SUMIF(T149:V153,"&gt;0")</f>
        <v>0</v>
      </c>
      <c r="V156" s="52"/>
      <c r="X156" s="48">
        <f>SUMIF(W149:Y153,"&gt;0")</f>
        <v>0</v>
      </c>
      <c r="Y156" s="52"/>
      <c r="AA156" s="48">
        <f>SUMIF(Z149:AB153,"&gt;0")</f>
        <v>0</v>
      </c>
      <c r="AB156" s="52"/>
      <c r="AD156" s="48">
        <f>SUMIF(AC149:AE153,"&gt;0")</f>
        <v>0</v>
      </c>
      <c r="AE156" s="52"/>
      <c r="AF156" s="51" t="s">
        <v>93</v>
      </c>
    </row>
    <row r="157" spans="1:33" s="48" customFormat="1" ht="12.75" customHeight="1" x14ac:dyDescent="0.25">
      <c r="A157" s="48" t="s">
        <v>83</v>
      </c>
      <c r="B157" s="48">
        <f>IF(B109=1,C156,0)</f>
        <v>0</v>
      </c>
      <c r="D157" s="52">
        <f>IF(D109=1,C156,0)</f>
        <v>0</v>
      </c>
      <c r="E157" s="48">
        <f>IF(E109=1,F156,0)</f>
        <v>1</v>
      </c>
      <c r="G157" s="52">
        <f>IF(G109=1,F156,0)</f>
        <v>0</v>
      </c>
      <c r="H157" s="48">
        <f>IF(H109=1,I156,0)</f>
        <v>0</v>
      </c>
      <c r="J157" s="52">
        <f>IF(J109=1,I156,0)</f>
        <v>0</v>
      </c>
      <c r="K157" s="48">
        <f>IF(K109=1,L156,0)</f>
        <v>1</v>
      </c>
      <c r="M157" s="52">
        <f>IF(M109=1,L156,0)</f>
        <v>0</v>
      </c>
      <c r="N157" s="48">
        <f>IF(N109=1,O156,0)</f>
        <v>0</v>
      </c>
      <c r="P157" s="52">
        <f>IF(P109=1,O156,0)</f>
        <v>0</v>
      </c>
      <c r="Q157" s="48">
        <f>IF(Q109=1,R156,0)</f>
        <v>1</v>
      </c>
      <c r="S157" s="52">
        <f>IF(S109=1,R156,0)</f>
        <v>0</v>
      </c>
      <c r="T157" s="48">
        <f>IF(T109=1,U156,0)</f>
        <v>0</v>
      </c>
      <c r="V157" s="52">
        <f>IF(V109=1,U156,0)</f>
        <v>0</v>
      </c>
      <c r="W157" s="48">
        <f>IF(W109=1,X156,0)</f>
        <v>0</v>
      </c>
      <c r="Y157" s="52">
        <f>IF(Y109=1,X156,0)</f>
        <v>0</v>
      </c>
      <c r="Z157" s="48">
        <f>IF(Z109=1,AA156,0)</f>
        <v>0</v>
      </c>
      <c r="AB157" s="52">
        <f>IF(AB109=1,AA156,0)</f>
        <v>0</v>
      </c>
      <c r="AC157" s="48">
        <f>IF(AC109=1,AD156,0)</f>
        <v>0</v>
      </c>
      <c r="AE157" s="52">
        <f>IF(AE109=1,AD156,0)</f>
        <v>0</v>
      </c>
      <c r="AF157" s="48">
        <f>SUM(B157:AE157)</f>
        <v>3</v>
      </c>
    </row>
    <row r="158" spans="1:33" s="48" customFormat="1" ht="12.75" customHeight="1" x14ac:dyDescent="0.25">
      <c r="A158" s="48" t="s">
        <v>84</v>
      </c>
      <c r="B158" s="48">
        <f>IF(B109=2,C156,0)</f>
        <v>1</v>
      </c>
      <c r="D158" s="52">
        <f>IF(D109=2,C156,0)</f>
        <v>0</v>
      </c>
      <c r="E158" s="48">
        <f>IF(E109=2,F156,0)</f>
        <v>0</v>
      </c>
      <c r="G158" s="52">
        <f>IF(G109=2,F156,0)</f>
        <v>0</v>
      </c>
      <c r="H158" s="48">
        <f>IF(H109=2,I156,0)</f>
        <v>1</v>
      </c>
      <c r="J158" s="52">
        <f>IF(J109=2,I156,0)</f>
        <v>0</v>
      </c>
      <c r="K158" s="48">
        <f>IF(K109=2,L156,0)</f>
        <v>0</v>
      </c>
      <c r="M158" s="52">
        <f>IF(M109=2,L156,0)</f>
        <v>0</v>
      </c>
      <c r="N158" s="48">
        <f>IF(N109=2,O156,0)</f>
        <v>0</v>
      </c>
      <c r="P158" s="52">
        <f>IF(P109=2,O156,0)</f>
        <v>0</v>
      </c>
      <c r="Q158" s="48">
        <f>IF(Q109=2,R156,0)</f>
        <v>0</v>
      </c>
      <c r="S158" s="52">
        <f>IF(S109=2,R156,0)</f>
        <v>1</v>
      </c>
      <c r="T158" s="48">
        <f>IF(T109=2,U156,0)</f>
        <v>0</v>
      </c>
      <c r="V158" s="52">
        <f>IF(V109=2,U156,0)</f>
        <v>0</v>
      </c>
      <c r="W158" s="48">
        <f>IF(W109=2,X156,0)</f>
        <v>0</v>
      </c>
      <c r="Y158" s="52">
        <f>IF(Y109=2,X156,0)</f>
        <v>0</v>
      </c>
      <c r="Z158" s="48">
        <f>IF(Z109=2,AA156,0)</f>
        <v>0</v>
      </c>
      <c r="AB158" s="52">
        <f>IF(AB109=2,AA156,0)</f>
        <v>0</v>
      </c>
      <c r="AC158" s="48">
        <f>IF(AC109=2,AD156,0)</f>
        <v>0</v>
      </c>
      <c r="AE158" s="52">
        <f>IF(AE109=2,AD156,0)</f>
        <v>0</v>
      </c>
      <c r="AF158" s="48">
        <f>SUM(B158:AE158)</f>
        <v>3</v>
      </c>
    </row>
    <row r="159" spans="1:33" s="48" customFormat="1" ht="12.75" customHeight="1" x14ac:dyDescent="0.25">
      <c r="A159" s="48" t="s">
        <v>85</v>
      </c>
      <c r="B159" s="48">
        <f>IF(B109=3,C156,0)</f>
        <v>0</v>
      </c>
      <c r="D159" s="52">
        <f>IF(D109=3,C156,0)</f>
        <v>1</v>
      </c>
      <c r="E159" s="48">
        <f>IF(E109=3,F156,0)</f>
        <v>0</v>
      </c>
      <c r="G159" s="52">
        <f>IF(G109=3,F156,0)</f>
        <v>0</v>
      </c>
      <c r="H159" s="48">
        <f>IF(H109=3,I156,0)</f>
        <v>0</v>
      </c>
      <c r="J159" s="52">
        <f>IF(J109=3,I156,0)</f>
        <v>0</v>
      </c>
      <c r="K159" s="48">
        <f>IF(K109=3,L156,0)</f>
        <v>0</v>
      </c>
      <c r="M159" s="52">
        <f>IF(M109=3,L156,0)</f>
        <v>1</v>
      </c>
      <c r="N159" s="48">
        <f>IF(N109=3,O156,0)</f>
        <v>1</v>
      </c>
      <c r="P159" s="52">
        <f>IF(P109=3,O156,0)</f>
        <v>0</v>
      </c>
      <c r="Q159" s="48">
        <f>IF(Q109=3,R156,0)</f>
        <v>0</v>
      </c>
      <c r="S159" s="52">
        <f>IF(S109=3,R156,0)</f>
        <v>0</v>
      </c>
      <c r="T159" s="48">
        <f>IF(T109=3,U156,0)</f>
        <v>0</v>
      </c>
      <c r="V159" s="52">
        <f>IF(V109=3,U156,0)</f>
        <v>0</v>
      </c>
      <c r="W159" s="48">
        <f>IF(W109=3,X156,0)</f>
        <v>0</v>
      </c>
      <c r="Y159" s="52">
        <f>IF(Y109=3,X156,0)</f>
        <v>0</v>
      </c>
      <c r="Z159" s="48">
        <f>IF(Z109=3,AA156,0)</f>
        <v>0</v>
      </c>
      <c r="AB159" s="52">
        <f>IF(AB109=3,AA156,0)</f>
        <v>0</v>
      </c>
      <c r="AC159" s="48">
        <f>IF(AC109=3,AD156,0)</f>
        <v>0</v>
      </c>
      <c r="AE159" s="52">
        <f>IF(AE109=3,AD156,0)</f>
        <v>0</v>
      </c>
      <c r="AF159" s="48">
        <f>SUM(B159:AE159)</f>
        <v>3</v>
      </c>
    </row>
    <row r="160" spans="1:33" s="48" customFormat="1" ht="12.75" customHeight="1" x14ac:dyDescent="0.25">
      <c r="A160" s="48" t="s">
        <v>86</v>
      </c>
      <c r="B160" s="48">
        <f>IF(B109=4,C156,0)</f>
        <v>0</v>
      </c>
      <c r="D160" s="52">
        <f>IF(D109=4,C156,0)</f>
        <v>0</v>
      </c>
      <c r="E160" s="48">
        <f>IF(E109=4,F156,0)</f>
        <v>0</v>
      </c>
      <c r="G160" s="52">
        <f>IF(G109=4,F156,0)</f>
        <v>1</v>
      </c>
      <c r="H160" s="48">
        <f>IF(H109=4,I156,0)</f>
        <v>0</v>
      </c>
      <c r="J160" s="52">
        <f>IF(J109=4,I156,0)</f>
        <v>1</v>
      </c>
      <c r="K160" s="48">
        <f>IF(K109=4,L156,0)</f>
        <v>0</v>
      </c>
      <c r="M160" s="52">
        <f>IF(M109=4,L156,0)</f>
        <v>0</v>
      </c>
      <c r="N160" s="48">
        <f>IF(N109=4,O156,0)</f>
        <v>0</v>
      </c>
      <c r="P160" s="52">
        <f>IF(P109=4,O156,0)</f>
        <v>1</v>
      </c>
      <c r="Q160" s="48">
        <f>IF(Q109=4,R156,0)</f>
        <v>0</v>
      </c>
      <c r="S160" s="52">
        <f>IF(S109=4,R156,0)</f>
        <v>0</v>
      </c>
      <c r="T160" s="48">
        <f>IF(T109=4,U156,0)</f>
        <v>0</v>
      </c>
      <c r="V160" s="52">
        <f>IF(V109=4,U156,0)</f>
        <v>0</v>
      </c>
      <c r="W160" s="48">
        <f>IF(W109=4,X156,0)</f>
        <v>0</v>
      </c>
      <c r="Y160" s="52">
        <f>IF(Y109=4,X156,0)</f>
        <v>0</v>
      </c>
      <c r="Z160" s="48">
        <f>IF(Z109=4,AA156,0)</f>
        <v>0</v>
      </c>
      <c r="AB160" s="52">
        <f>IF(AB109=4,AA156,0)</f>
        <v>0</v>
      </c>
      <c r="AC160" s="48">
        <f>IF(AC109=4,AD156,0)</f>
        <v>0</v>
      </c>
      <c r="AE160" s="52">
        <f>IF(AE109=4,AD156,0)</f>
        <v>0</v>
      </c>
      <c r="AF160" s="48">
        <f>SUM(B160:AE160)</f>
        <v>3</v>
      </c>
    </row>
    <row r="161" spans="1:49" s="48" customFormat="1" ht="12.75" customHeight="1" x14ac:dyDescent="0.25">
      <c r="A161" s="48" t="s">
        <v>87</v>
      </c>
      <c r="B161" s="48">
        <f>IF(B109=5,C156,0)</f>
        <v>0</v>
      </c>
      <c r="D161" s="52">
        <f>IF(D109=5,C156,0)</f>
        <v>0</v>
      </c>
      <c r="E161" s="48">
        <f>IF(E109=5,F156,0)</f>
        <v>0</v>
      </c>
      <c r="G161" s="52">
        <f>IF(G109=5,F156,0)</f>
        <v>0</v>
      </c>
      <c r="H161" s="48">
        <f>IF(H109=5,I156,0)</f>
        <v>0</v>
      </c>
      <c r="J161" s="52">
        <f>IF(J109=5,I156,0)</f>
        <v>0</v>
      </c>
      <c r="K161" s="48">
        <f>IF(K109=5,L156,0)</f>
        <v>0</v>
      </c>
      <c r="M161" s="52">
        <f>IF(M109=5,L156,0)</f>
        <v>0</v>
      </c>
      <c r="N161" s="48">
        <f>IF(N109=5,O156,0)</f>
        <v>0</v>
      </c>
      <c r="P161" s="52">
        <f>IF(P109=5,O156,0)</f>
        <v>0</v>
      </c>
      <c r="Q161" s="48">
        <f>IF(Q109=5,R156,0)</f>
        <v>0</v>
      </c>
      <c r="S161" s="52">
        <f>IF(S109=5,R156,0)</f>
        <v>0</v>
      </c>
      <c r="T161" s="48">
        <f>IF(T109=5,U156,0)</f>
        <v>0</v>
      </c>
      <c r="V161" s="52">
        <f>IF(V109=5,U156,0)</f>
        <v>0</v>
      </c>
      <c r="W161" s="48">
        <f>IF(W109=5,X156,0)</f>
        <v>0</v>
      </c>
      <c r="Y161" s="52">
        <f>IF(Y109=5,X156,0)</f>
        <v>0</v>
      </c>
      <c r="Z161" s="48">
        <f>IF(Z109=5,AA156,0)</f>
        <v>0</v>
      </c>
      <c r="AB161" s="52">
        <f>IF(AB109=5,AA156,0)</f>
        <v>0</v>
      </c>
      <c r="AC161" s="48">
        <f>IF(AC109=5,AD156,0)</f>
        <v>0</v>
      </c>
      <c r="AE161" s="52">
        <f>IF(AE109=5,AD156,0)</f>
        <v>0</v>
      </c>
      <c r="AF161" s="48">
        <f>SUM(B161:AE161)</f>
        <v>0</v>
      </c>
    </row>
    <row r="162" spans="1:49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4"/>
      <c r="AO162" s="54"/>
      <c r="AP162" s="54"/>
      <c r="AQ162" s="54"/>
      <c r="AR162" s="55"/>
      <c r="AS162" s="55"/>
      <c r="AT162" s="56"/>
    </row>
    <row r="163" spans="1:49" s="55" customFormat="1" x14ac:dyDescent="0.25">
      <c r="A163" s="57"/>
      <c r="B163" s="57"/>
      <c r="C163" s="57" t="s">
        <v>94</v>
      </c>
      <c r="D163" s="57">
        <v>1</v>
      </c>
      <c r="E163" s="57"/>
      <c r="F163" s="57"/>
      <c r="G163" s="57">
        <v>2</v>
      </c>
      <c r="H163" s="57"/>
      <c r="I163" s="57"/>
      <c r="J163" s="57">
        <v>3</v>
      </c>
      <c r="K163" s="57"/>
      <c r="L163" s="57"/>
      <c r="M163" s="57">
        <v>4</v>
      </c>
      <c r="N163" s="57"/>
      <c r="O163" s="57"/>
      <c r="P163" s="57">
        <v>5</v>
      </c>
      <c r="Q163" s="57"/>
      <c r="R163" s="57"/>
      <c r="S163" s="57">
        <v>6</v>
      </c>
      <c r="T163" s="57"/>
      <c r="U163" s="57"/>
      <c r="V163" s="57">
        <v>7</v>
      </c>
      <c r="W163" s="57"/>
      <c r="X163" s="57"/>
      <c r="Y163" s="57">
        <v>8</v>
      </c>
      <c r="Z163" s="57"/>
      <c r="AA163" s="57"/>
      <c r="AB163" s="57">
        <v>9</v>
      </c>
      <c r="AC163" s="57"/>
      <c r="AD163" s="57"/>
      <c r="AE163" s="57">
        <v>10</v>
      </c>
      <c r="AF163" s="4"/>
      <c r="AG163" s="57"/>
      <c r="AI163" s="58"/>
      <c r="AJ163" s="4"/>
      <c r="AK163" s="4"/>
      <c r="AL163" s="4"/>
      <c r="AM163" s="4"/>
      <c r="AN163" s="4"/>
      <c r="AO163" s="4"/>
      <c r="AT163" s="58" t="s">
        <v>95</v>
      </c>
      <c r="AW163" s="59"/>
    </row>
    <row r="164" spans="1:49" s="55" customFormat="1" x14ac:dyDescent="0.25">
      <c r="A164" s="60">
        <v>1</v>
      </c>
      <c r="B164" s="60" t="str">
        <f>E93</f>
        <v>SCWE12FLYERS</v>
      </c>
      <c r="C164" s="60">
        <f>VLOOKUP(B164,AU$3:AW$33,3,FALSE)</f>
        <v>1185.4695015289756</v>
      </c>
      <c r="D164" s="60">
        <f>IF(B157,B172,IF(D157,D172,C164))</f>
        <v>1185.4695015289756</v>
      </c>
      <c r="E164" s="60"/>
      <c r="F164" s="60"/>
      <c r="G164" s="60">
        <f>IF(E157,E172,IF(G157,G172,D164))</f>
        <v>1192.7347507644879</v>
      </c>
      <c r="H164" s="60"/>
      <c r="I164" s="60"/>
      <c r="J164" s="60">
        <f>IF(H157,H172,IF(J157,J172,G164))</f>
        <v>1192.7347507644879</v>
      </c>
      <c r="K164" s="60"/>
      <c r="L164" s="60"/>
      <c r="M164" s="60">
        <f>IF(K157,K172,IF(M157,M172,J164))</f>
        <v>1184.4965247115497</v>
      </c>
      <c r="N164" s="60"/>
      <c r="O164" s="60"/>
      <c r="P164" s="60">
        <f>IF(N157,N172,IF(P157,P172,M164))</f>
        <v>1184.4965247115497</v>
      </c>
      <c r="Q164" s="60"/>
      <c r="R164" s="60"/>
      <c r="S164" s="60">
        <f>IF(Q157,Q172,IF(S157,S172,P164))</f>
        <v>1176.7200547305524</v>
      </c>
      <c r="T164" s="60"/>
      <c r="U164" s="60"/>
      <c r="V164" s="60">
        <f>IF(T157,T172,IF(V157,V172,S164))</f>
        <v>1176.7200547305524</v>
      </c>
      <c r="W164" s="60"/>
      <c r="X164" s="60"/>
      <c r="Y164" s="60">
        <f>IF(W157,W172,IF(Y157,Y172,V164))</f>
        <v>1176.7200547305524</v>
      </c>
      <c r="Z164" s="60"/>
      <c r="AA164" s="60"/>
      <c r="AB164" s="60">
        <f>IF(Z157,Z172,IF(AB157,AB172,Y164))</f>
        <v>1176.7200547305524</v>
      </c>
      <c r="AC164" s="60"/>
      <c r="AD164" s="60"/>
      <c r="AE164" s="60">
        <f>IF(AC157,AC172,IF(AE157,AE172,AB164))</f>
        <v>1176.7200547305524</v>
      </c>
      <c r="AF164" s="4"/>
      <c r="AG164" s="4"/>
      <c r="AJ164" s="4"/>
      <c r="AK164" s="4"/>
      <c r="AL164" s="4"/>
      <c r="AM164" s="4"/>
      <c r="AN164" s="4"/>
      <c r="AO164" s="4"/>
      <c r="AT164" s="55" t="str">
        <f>B164</f>
        <v>SCWE12FLYERS</v>
      </c>
      <c r="AU164" s="55">
        <f>AE164</f>
        <v>1176.7200547305524</v>
      </c>
      <c r="AW164" s="59"/>
    </row>
    <row r="165" spans="1:49" s="55" customFormat="1" x14ac:dyDescent="0.25">
      <c r="A165" s="60">
        <v>2</v>
      </c>
      <c r="B165" s="60" t="str">
        <f>E95</f>
        <v>SC Midlands KP Black</v>
      </c>
      <c r="C165" s="60">
        <f>VLOOKUP(B165,AU$3:AW$33,3,FALSE)</f>
        <v>1178.8739916110649</v>
      </c>
      <c r="D165" s="60">
        <f>IF(B158,B172,IF(D158,D172,C165))</f>
        <v>1187.1451984878279</v>
      </c>
      <c r="E165" s="60"/>
      <c r="F165" s="60"/>
      <c r="G165" s="60">
        <f>IF(E158,E172,IF(G158,G172,D165))</f>
        <v>1187.1451984878279</v>
      </c>
      <c r="H165" s="60"/>
      <c r="I165" s="60"/>
      <c r="J165" s="60">
        <f>IF(H158,H172,IF(J158,J172,G165))</f>
        <v>1194.2068376081795</v>
      </c>
      <c r="K165" s="60"/>
      <c r="L165" s="60"/>
      <c r="M165" s="60">
        <f>IF(K158,K172,IF(M158,M172,J165))</f>
        <v>1194.2068376081795</v>
      </c>
      <c r="N165" s="60"/>
      <c r="O165" s="60"/>
      <c r="P165" s="60">
        <f>IF(N158,N172,IF(P158,P172,M165))</f>
        <v>1194.2068376081795</v>
      </c>
      <c r="Q165" s="60"/>
      <c r="R165" s="60"/>
      <c r="S165" s="60">
        <f>IF(Q158,Q172,IF(S158,S172,P165))</f>
        <v>1201.9833075891768</v>
      </c>
      <c r="T165" s="60"/>
      <c r="U165" s="60"/>
      <c r="V165" s="60">
        <f>IF(T158,T172,IF(V158,V172,S165))</f>
        <v>1201.9833075891768</v>
      </c>
      <c r="W165" s="60"/>
      <c r="X165" s="60"/>
      <c r="Y165" s="60">
        <f>IF(W158,W172,IF(Y158,Y172,V165))</f>
        <v>1201.9833075891768</v>
      </c>
      <c r="Z165" s="60"/>
      <c r="AA165" s="60"/>
      <c r="AB165" s="60">
        <f>IF(Z158,Z172,IF(AB158,AB172,Y165))</f>
        <v>1201.9833075891768</v>
      </c>
      <c r="AC165" s="60"/>
      <c r="AD165" s="60"/>
      <c r="AE165" s="60">
        <f>IF(AC158,AC172,IF(AE158,AE172,AB165))</f>
        <v>1201.9833075891768</v>
      </c>
      <c r="AF165" s="4"/>
      <c r="AG165" s="4"/>
      <c r="AJ165" s="4"/>
      <c r="AL165" s="4"/>
      <c r="AM165" s="4"/>
      <c r="AN165" s="4"/>
      <c r="AO165" s="4"/>
      <c r="AT165" s="55" t="str">
        <f>B165</f>
        <v>SC Midlands KP Black</v>
      </c>
      <c r="AU165" s="55">
        <f>AE165</f>
        <v>1201.9833075891768</v>
      </c>
      <c r="AW165" s="59"/>
    </row>
    <row r="166" spans="1:49" s="55" customFormat="1" x14ac:dyDescent="0.25">
      <c r="A166" s="60">
        <v>3</v>
      </c>
      <c r="B166" s="60" t="str">
        <f>E97</f>
        <v>USA 12's Pink</v>
      </c>
      <c r="C166" s="60">
        <f>VLOOKUP(B166,AU$3:AW$33,3,FALSE)</f>
        <v>1190.6568718953795</v>
      </c>
      <c r="D166" s="60">
        <f>IF(B159,B172,IF(D159,D172,C166))</f>
        <v>1182.3856650186165</v>
      </c>
      <c r="E166" s="60"/>
      <c r="F166" s="60"/>
      <c r="G166" s="60">
        <f>IF(E159,E172,IF(G159,G172,D166))</f>
        <v>1182.3856650186165</v>
      </c>
      <c r="H166" s="60"/>
      <c r="I166" s="60"/>
      <c r="J166" s="60">
        <f>IF(H159,H172,IF(J159,J172,G166))</f>
        <v>1182.3856650186165</v>
      </c>
      <c r="K166" s="60"/>
      <c r="L166" s="60"/>
      <c r="M166" s="60">
        <f>IF(K159,K172,IF(M159,M172,J166))</f>
        <v>1190.6238910715547</v>
      </c>
      <c r="N166" s="60"/>
      <c r="O166" s="60"/>
      <c r="P166" s="60">
        <f>IF(N159,N172,IF(P159,P172,M166))</f>
        <v>1181.4470908066889</v>
      </c>
      <c r="Q166" s="60"/>
      <c r="R166" s="60"/>
      <c r="S166" s="60">
        <f>IF(Q159,Q172,IF(S159,S172,P166))</f>
        <v>1181.4470908066889</v>
      </c>
      <c r="T166" s="60"/>
      <c r="U166" s="60"/>
      <c r="V166" s="60">
        <f>IF(T159,T172,IF(V159,V172,S166))</f>
        <v>1181.4470908066889</v>
      </c>
      <c r="W166" s="60"/>
      <c r="X166" s="60"/>
      <c r="Y166" s="60">
        <f>IF(W159,W172,IF(Y159,Y172,V166))</f>
        <v>1181.4470908066889</v>
      </c>
      <c r="Z166" s="60"/>
      <c r="AA166" s="60"/>
      <c r="AB166" s="60">
        <f>IF(Z159,Z172,IF(AB159,AB172,Y166))</f>
        <v>1181.4470908066889</v>
      </c>
      <c r="AC166" s="60"/>
      <c r="AD166" s="60"/>
      <c r="AE166" s="60">
        <f>IF(AC159,AC172,IF(AE159,AE172,AB166))</f>
        <v>1181.4470908066889</v>
      </c>
      <c r="AF166" s="4"/>
      <c r="AG166" s="4"/>
      <c r="AJ166" s="4"/>
      <c r="AL166" s="4"/>
      <c r="AM166" s="4"/>
      <c r="AN166" s="4"/>
      <c r="AO166" s="4"/>
      <c r="AT166" s="55" t="str">
        <f>B166</f>
        <v>USA 12's Pink</v>
      </c>
      <c r="AU166" s="55">
        <f>AE166</f>
        <v>1181.4470908066889</v>
      </c>
      <c r="AW166" s="59"/>
    </row>
    <row r="167" spans="1:49" s="55" customFormat="1" x14ac:dyDescent="0.25">
      <c r="A167" s="60">
        <v>4</v>
      </c>
      <c r="B167" s="60" t="str">
        <f>E99</f>
        <v>Kershaw Dev 12 Black</v>
      </c>
      <c r="C167" s="60">
        <f>VLOOKUP(B167,AU$3:AW$33,3,FALSE)</f>
        <v>1153.4695015289756</v>
      </c>
      <c r="D167" s="60">
        <f>IF(B160,B172,IF(D160,D172,C167))</f>
        <v>1153.4695015289756</v>
      </c>
      <c r="E167" s="60"/>
      <c r="F167" s="60"/>
      <c r="G167" s="60">
        <f>IF(E160,E172,IF(G160,G172,D167))</f>
        <v>1146.2042522934632</v>
      </c>
      <c r="H167" s="60"/>
      <c r="I167" s="60"/>
      <c r="J167" s="60">
        <f>IF(H160,H172,IF(J160,J172,G167))</f>
        <v>1139.1426131731116</v>
      </c>
      <c r="K167" s="60"/>
      <c r="L167" s="60"/>
      <c r="M167" s="60">
        <f>IF(K160,K172,IF(M160,M172,J167))</f>
        <v>1139.1426131731116</v>
      </c>
      <c r="N167" s="60"/>
      <c r="O167" s="60"/>
      <c r="P167" s="60">
        <f>IF(N160,N172,IF(P160,P172,M167))</f>
        <v>1148.3194134379773</v>
      </c>
      <c r="Q167" s="60"/>
      <c r="R167" s="60"/>
      <c r="S167" s="60">
        <f>IF(Q160,Q172,IF(S160,S172,P167))</f>
        <v>1148.3194134379773</v>
      </c>
      <c r="T167" s="60"/>
      <c r="U167" s="60"/>
      <c r="V167" s="60">
        <f>IF(T160,T172,IF(V160,V172,S167))</f>
        <v>1148.3194134379773</v>
      </c>
      <c r="W167" s="60"/>
      <c r="X167" s="60"/>
      <c r="Y167" s="60">
        <f>IF(W160,W172,IF(Y160,Y172,V167))</f>
        <v>1148.3194134379773</v>
      </c>
      <c r="Z167" s="60"/>
      <c r="AA167" s="60"/>
      <c r="AB167" s="60">
        <f>IF(Z160,Z172,IF(AB160,AB172,Y167))</f>
        <v>1148.3194134379773</v>
      </c>
      <c r="AC167" s="60"/>
      <c r="AD167" s="60"/>
      <c r="AE167" s="60">
        <f>IF(AC160,AC172,IF(AE160,AE172,AB167))</f>
        <v>1148.3194134379773</v>
      </c>
      <c r="AF167" s="4"/>
      <c r="AG167" s="4"/>
      <c r="AJ167" s="4"/>
      <c r="AL167" s="4"/>
      <c r="AM167" s="4"/>
      <c r="AN167" s="4"/>
      <c r="AO167" s="4"/>
      <c r="AT167" s="55" t="str">
        <f>B167</f>
        <v>Kershaw Dev 12 Black</v>
      </c>
      <c r="AU167" s="55">
        <f>AE167</f>
        <v>1148.3194134379773</v>
      </c>
      <c r="AW167" s="59"/>
    </row>
    <row r="168" spans="1:49" s="55" customFormat="1" x14ac:dyDescent="0.25">
      <c r="A168" s="60">
        <v>5</v>
      </c>
      <c r="B168" s="60" t="e">
        <f>E101</f>
        <v>#REF!</v>
      </c>
      <c r="C168" s="60" t="e">
        <f>VLOOKUP(B168,AU$3:AW$33,3,FALSE)</f>
        <v>#REF!</v>
      </c>
      <c r="D168" s="60" t="e">
        <f>IF(B161,B172,IF(D161,D172,C168))</f>
        <v>#REF!</v>
      </c>
      <c r="E168" s="60"/>
      <c r="F168" s="60"/>
      <c r="G168" s="60" t="e">
        <f>IF(E161,E172,IF(G161,G172,D168))</f>
        <v>#REF!</v>
      </c>
      <c r="H168" s="60"/>
      <c r="I168" s="60"/>
      <c r="J168" s="60" t="e">
        <f>IF(H161,H172,IF(J161,J172,G168))</f>
        <v>#REF!</v>
      </c>
      <c r="K168" s="60"/>
      <c r="L168" s="60"/>
      <c r="M168" s="60" t="e">
        <f>IF(K161,K172,IF(M161,M172,J168))</f>
        <v>#REF!</v>
      </c>
      <c r="N168" s="60"/>
      <c r="O168" s="60"/>
      <c r="P168" s="60" t="e">
        <f>IF(N161,N172,IF(P161,P172,M168))</f>
        <v>#REF!</v>
      </c>
      <c r="Q168" s="60"/>
      <c r="R168" s="60"/>
      <c r="S168" s="60" t="e">
        <f>IF(Q161,Q172,IF(S161,S172,P168))</f>
        <v>#REF!</v>
      </c>
      <c r="T168" s="60"/>
      <c r="U168" s="60"/>
      <c r="V168" s="60" t="e">
        <f>IF(T161,T172,IF(V161,V172,S168))</f>
        <v>#REF!</v>
      </c>
      <c r="W168" s="60"/>
      <c r="X168" s="60"/>
      <c r="Y168" s="60" t="e">
        <f>IF(W161,W172,IF(Y161,Y172,V168))</f>
        <v>#REF!</v>
      </c>
      <c r="Z168" s="60"/>
      <c r="AA168" s="60"/>
      <c r="AB168" s="60" t="e">
        <f>IF(Z161,Z172,IF(AB161,AB172,Y168))</f>
        <v>#REF!</v>
      </c>
      <c r="AC168" s="60"/>
      <c r="AD168" s="60"/>
      <c r="AE168" s="60" t="e">
        <f>IF(AC161,AC172,IF(AE161,AE172,AB168))</f>
        <v>#REF!</v>
      </c>
      <c r="AF168" s="4"/>
      <c r="AG168" s="4"/>
      <c r="AJ168" s="4"/>
      <c r="AL168" s="4"/>
      <c r="AM168" s="4"/>
      <c r="AN168" s="4"/>
      <c r="AO168" s="4"/>
      <c r="AT168" s="55" t="e">
        <f>B168</f>
        <v>#REF!</v>
      </c>
      <c r="AU168" s="55" t="e">
        <f>AE168</f>
        <v>#REF!</v>
      </c>
      <c r="AW168" s="59"/>
    </row>
    <row r="169" spans="1:49" s="55" customFormat="1" x14ac:dyDescent="0.25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4"/>
      <c r="AG169" s="4"/>
      <c r="AJ169" s="4"/>
      <c r="AL169" s="4"/>
      <c r="AM169" s="4"/>
      <c r="AN169" s="4"/>
      <c r="AO169" s="4"/>
      <c r="AW169" s="59"/>
    </row>
    <row r="170" spans="1:49" s="55" customFormat="1" x14ac:dyDescent="0.25">
      <c r="A170" s="60" t="s">
        <v>96</v>
      </c>
      <c r="B170" s="60">
        <f>VLOOKUP(B109,$A164:$AE168,3,FALSE)</f>
        <v>1178.8739916110649</v>
      </c>
      <c r="C170" s="60">
        <v>1</v>
      </c>
      <c r="D170" s="60">
        <f>VLOOKUP(D109,$A164:$AE168,3,FALSE)</f>
        <v>1190.6568718953795</v>
      </c>
      <c r="E170" s="60">
        <f>VLOOKUP(E109,$A164:$AE168,4,FALSE)</f>
        <v>1185.4695015289756</v>
      </c>
      <c r="F170" s="60">
        <v>2</v>
      </c>
      <c r="G170" s="60">
        <f>VLOOKUP(G109,$A164:$AE168,4,FALSE)</f>
        <v>1153.4695015289756</v>
      </c>
      <c r="H170" s="60">
        <f>VLOOKUP(H109,$A164:$AE168,7,FALSE)</f>
        <v>1187.1451984878279</v>
      </c>
      <c r="I170" s="60">
        <v>3</v>
      </c>
      <c r="J170" s="60">
        <f>VLOOKUP(J109,$A164:$AE168,7,FALSE)</f>
        <v>1146.2042522934632</v>
      </c>
      <c r="K170" s="60">
        <f>VLOOKUP(K109,$A164:$AE168,10,FALSE)</f>
        <v>1192.7347507644879</v>
      </c>
      <c r="L170" s="60">
        <v>4</v>
      </c>
      <c r="M170" s="60">
        <f>VLOOKUP(M109,$A164:$AE168,10,FALSE)</f>
        <v>1182.3856650186165</v>
      </c>
      <c r="N170" s="60">
        <f>VLOOKUP(N109,$A164:$AE168,13,FALSE)</f>
        <v>1190.6238910715547</v>
      </c>
      <c r="O170" s="60">
        <v>5</v>
      </c>
      <c r="P170" s="60">
        <f>VLOOKUP(P109,$A164:$AE168,13,FALSE)</f>
        <v>1139.1426131731116</v>
      </c>
      <c r="Q170" s="60">
        <f>VLOOKUP(Q109,$A164:$AE168,16,FALSE)</f>
        <v>1184.4965247115497</v>
      </c>
      <c r="R170" s="60">
        <v>6</v>
      </c>
      <c r="S170" s="60">
        <f>VLOOKUP(S109,$A164:$AE168,16,FALSE)</f>
        <v>1194.2068376081795</v>
      </c>
      <c r="T170" s="60" t="e">
        <f>VLOOKUP(T109,$A164:$AE168,19,FALSE)</f>
        <v>#N/A</v>
      </c>
      <c r="U170" s="60">
        <v>7</v>
      </c>
      <c r="V170" s="60" t="e">
        <f>VLOOKUP(V109,$A164:$AE168,19,FALSE)</f>
        <v>#N/A</v>
      </c>
      <c r="W170" s="60" t="e">
        <f>VLOOKUP(W109,$A164:$AE168,22,FALSE)</f>
        <v>#N/A</v>
      </c>
      <c r="X170" s="60">
        <v>8</v>
      </c>
      <c r="Y170" s="60" t="e">
        <f>VLOOKUP(Y109,$A164:$AE168,22,FALSE)</f>
        <v>#N/A</v>
      </c>
      <c r="Z170" s="60" t="e">
        <f>VLOOKUP(Z109,$A164:$AE168,25,FALSE)</f>
        <v>#N/A</v>
      </c>
      <c r="AA170" s="60">
        <v>9</v>
      </c>
      <c r="AB170" s="60" t="e">
        <f>VLOOKUP(AB109,$A164:$AE168,25,FALSE)</f>
        <v>#N/A</v>
      </c>
      <c r="AC170" s="60" t="e">
        <f>VLOOKUP(AC109,$A164:$AE168,28,FALSE)</f>
        <v>#N/A</v>
      </c>
      <c r="AD170" s="60">
        <v>10</v>
      </c>
      <c r="AE170" s="60" t="e">
        <f>VLOOKUP(AE109,$A164:$AE168,28,FALSE)</f>
        <v>#N/A</v>
      </c>
      <c r="AF170" s="4"/>
      <c r="AG170" s="53"/>
      <c r="AH170" s="53"/>
      <c r="AI170" s="53"/>
      <c r="AJ170" s="53"/>
      <c r="AK170" s="53"/>
      <c r="AL170" s="53"/>
      <c r="AM170" s="53"/>
      <c r="AN170" s="54"/>
      <c r="AO170" s="54"/>
      <c r="AP170" s="54"/>
      <c r="AQ170" s="54"/>
      <c r="AW170" s="59"/>
    </row>
    <row r="171" spans="1:49" s="65" customFormat="1" x14ac:dyDescent="0.25">
      <c r="A171" s="61" t="s">
        <v>97</v>
      </c>
      <c r="B171" s="61">
        <f>1/(1+(10^-((B170-D170)/400)))*(B121+D121)</f>
        <v>0.48304957020230688</v>
      </c>
      <c r="C171" s="61"/>
      <c r="D171" s="61">
        <f>1/(1+(10^-((D170-B170)/400)))*(B121+D121)</f>
        <v>0.51695042979769312</v>
      </c>
      <c r="E171" s="61">
        <f>1/(1+(10^-((E170-G170)/400)))*(E121+G121)</f>
        <v>0.54592192278048368</v>
      </c>
      <c r="F171" s="61"/>
      <c r="G171" s="61">
        <f>1/(1+(10^-((G170-E170)/400)))*(E121+G121)</f>
        <v>0.45407807721951632</v>
      </c>
      <c r="H171" s="61">
        <f>1/(1+(10^-((H170-J170)/400)))*(H121+J121)</f>
        <v>0.55864755497802754</v>
      </c>
      <c r="I171" s="61"/>
      <c r="J171" s="61">
        <f>1/(1+(10^-((J170-H170)/400)))*(H121+J121)</f>
        <v>0.44135244502197246</v>
      </c>
      <c r="K171" s="61">
        <f>1/(1+(10^-((K170-M170)/400)))*(K121+M121)</f>
        <v>0.51488912830864209</v>
      </c>
      <c r="L171" s="61"/>
      <c r="M171" s="61">
        <f>1/(1+(10^-((M170-K170)/400)))*(K121+M121)</f>
        <v>0.48511087169135791</v>
      </c>
      <c r="N171" s="61">
        <f>1/(1+(10^-((N170-P170)/400)))*(N121+P121)</f>
        <v>0.57355001655410764</v>
      </c>
      <c r="O171" s="61"/>
      <c r="P171" s="61">
        <f>1/(1+(10^-((P170-N170)/400)))*(N121+P121)</f>
        <v>0.42644998344589236</v>
      </c>
      <c r="Q171" s="61">
        <f>1/(1+(10^-((Q170-S170)/400)))*(Q121+S121)</f>
        <v>0.48602937381233507</v>
      </c>
      <c r="R171" s="61"/>
      <c r="S171" s="61">
        <f>1/(1+(10^-((S170-Q170)/400)))*(Q121+S121)</f>
        <v>0.51397062618766487</v>
      </c>
      <c r="T171" s="61" t="e">
        <f>1/(1+(10^-((T170-V170)/400)))*(T121+V121)</f>
        <v>#N/A</v>
      </c>
      <c r="U171" s="61"/>
      <c r="V171" s="61" t="e">
        <f>1/(1+(10^-((V170-T170)/400)))*(T121+V121)</f>
        <v>#N/A</v>
      </c>
      <c r="W171" s="61" t="e">
        <f>1/(1+(10^-((W170-Y170)/400)))*(W121+Y121)</f>
        <v>#N/A</v>
      </c>
      <c r="X171" s="61"/>
      <c r="Y171" s="61" t="e">
        <f>1/(1+(10^-((Y170-W170)/400)))*(W121+Y121)</f>
        <v>#N/A</v>
      </c>
      <c r="Z171" s="61" t="e">
        <f>1/(1+(10^-((Z170-AB170)/400)))*(Z121+AB121)</f>
        <v>#N/A</v>
      </c>
      <c r="AA171" s="61"/>
      <c r="AB171" s="61" t="e">
        <f>1/(1+(10^-((AB170-Z170)/400)))*(Z121+AB121)</f>
        <v>#N/A</v>
      </c>
      <c r="AC171" s="61" t="e">
        <f>1/(1+(10^-((AC170-AE170)/400)))*(AC121+AE121)</f>
        <v>#N/A</v>
      </c>
      <c r="AD171" s="61"/>
      <c r="AE171" s="61" t="e">
        <f>1/(1+(10^-((AE170-AC170)/400)))*(AC121+AE121)</f>
        <v>#N/A</v>
      </c>
      <c r="AF171" s="62"/>
      <c r="AG171" s="63"/>
      <c r="AH171" s="63"/>
      <c r="AI171" s="63"/>
      <c r="AJ171" s="63"/>
      <c r="AK171" s="63"/>
      <c r="AL171" s="63"/>
      <c r="AM171" s="63"/>
      <c r="AN171" s="64"/>
      <c r="AO171" s="64"/>
      <c r="AP171" s="64"/>
      <c r="AQ171" s="64"/>
      <c r="AW171" s="66"/>
    </row>
    <row r="172" spans="1:49" s="71" customFormat="1" x14ac:dyDescent="0.25">
      <c r="A172" s="67" t="s">
        <v>98</v>
      </c>
      <c r="B172" s="67">
        <f>B170+(B121-B171)*$BA$1</f>
        <v>1187.1451984878279</v>
      </c>
      <c r="C172" s="67"/>
      <c r="D172" s="67">
        <f>D170+(D121-D171)*$BA$1</f>
        <v>1182.3856650186165</v>
      </c>
      <c r="E172" s="67">
        <f>E170+(E121-E171)*$BA$1</f>
        <v>1192.7347507644879</v>
      </c>
      <c r="F172" s="67"/>
      <c r="G172" s="67">
        <f>G170+(G121-G171)*$BA$1</f>
        <v>1146.2042522934632</v>
      </c>
      <c r="H172" s="67">
        <f>H170+(H121-H171)*$BA$1</f>
        <v>1194.2068376081795</v>
      </c>
      <c r="I172" s="67"/>
      <c r="J172" s="67">
        <f>J170+(J121-J171)*$BA$1</f>
        <v>1139.1426131731116</v>
      </c>
      <c r="K172" s="67">
        <f>K170+(K121-K171)*$BA$1</f>
        <v>1184.4965247115497</v>
      </c>
      <c r="L172" s="67"/>
      <c r="M172" s="67">
        <f>M170+(M121-M171)*$BA$1</f>
        <v>1190.6238910715547</v>
      </c>
      <c r="N172" s="67">
        <f>N170+(N121-N171)*$BA$1</f>
        <v>1181.4470908066889</v>
      </c>
      <c r="O172" s="67"/>
      <c r="P172" s="67">
        <f>P170+(P121-P171)*$BA$1</f>
        <v>1148.3194134379773</v>
      </c>
      <c r="Q172" s="67">
        <f>Q170+(Q121-Q171)*$BA$1</f>
        <v>1176.7200547305524</v>
      </c>
      <c r="R172" s="67"/>
      <c r="S172" s="67">
        <f>S170+(S121-S171)*$BA$1</f>
        <v>1201.9833075891768</v>
      </c>
      <c r="T172" s="67" t="e">
        <f>T170+(T121-T171)*$BA$1</f>
        <v>#N/A</v>
      </c>
      <c r="U172" s="67"/>
      <c r="V172" s="67" t="e">
        <f>V170+(V121-V171)*$BA$1</f>
        <v>#N/A</v>
      </c>
      <c r="W172" s="67" t="e">
        <f>W170+(W121-W171)*$BA$1</f>
        <v>#N/A</v>
      </c>
      <c r="X172" s="67"/>
      <c r="Y172" s="67" t="e">
        <f>Y170+(Y121-Y171)*$BA$1</f>
        <v>#N/A</v>
      </c>
      <c r="Z172" s="67" t="e">
        <f>Z170+(Z121-Z171)*$BA$1</f>
        <v>#N/A</v>
      </c>
      <c r="AA172" s="67"/>
      <c r="AB172" s="67" t="e">
        <f>AB170+(AB121-AB171)*$BA$1</f>
        <v>#N/A</v>
      </c>
      <c r="AC172" s="67" t="e">
        <f>AC170+(AC121-AC171)*$BA$1</f>
        <v>#N/A</v>
      </c>
      <c r="AD172" s="67"/>
      <c r="AE172" s="67" t="e">
        <f>AE170+(AE121-AE171)*$BA$1</f>
        <v>#N/A</v>
      </c>
      <c r="AF172" s="68"/>
      <c r="AG172" s="69"/>
      <c r="AH172" s="69"/>
      <c r="AI172" s="69"/>
      <c r="AJ172" s="69"/>
      <c r="AK172" s="69"/>
      <c r="AL172" s="69"/>
      <c r="AM172" s="69"/>
      <c r="AN172" s="70"/>
      <c r="AO172" s="70"/>
      <c r="AP172" s="70"/>
      <c r="AQ172" s="70"/>
      <c r="AW172" s="72"/>
    </row>
    <row r="173" spans="1:49" s="71" customFormat="1" x14ac:dyDescent="0.25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8"/>
      <c r="AG173" s="69"/>
      <c r="AH173" s="69"/>
      <c r="AI173" s="69"/>
      <c r="AJ173" s="69"/>
      <c r="AK173" s="69"/>
      <c r="AL173" s="69"/>
      <c r="AM173" s="69"/>
      <c r="AN173" s="70"/>
      <c r="AO173" s="70"/>
      <c r="AP173" s="70"/>
      <c r="AQ173" s="70"/>
      <c r="AT173" s="72"/>
    </row>
    <row r="174" spans="1:49" s="55" customFormat="1" x14ac:dyDescent="0.25">
      <c r="A174" s="151" t="str">
        <f>IF($AK95=1,"Pool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Pool Tiereaker : 1) Matches Won vs Lost (if 3 way tie then #4)  2) Head to Head  3) Game Win %  4) Total Pool Net Points  5) Flip a Coin</v>
      </c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2"/>
      <c r="AO174" s="152"/>
      <c r="AP174" s="152"/>
      <c r="AQ174" s="152"/>
    </row>
    <row r="175" spans="1:49" hidden="1" x14ac:dyDescent="0.25">
      <c r="A175" s="47"/>
      <c r="B175" s="47" t="e">
        <f>IF(#REF!=5,SUM(#REF!),IF(#REF!=4,SUM(#REF!),IF(#REF!=3,SUM(#REF!),IF(#REF!=2,SUM(#REF!),#REF!))))</f>
        <v>#REF!</v>
      </c>
      <c r="C175" s="47"/>
      <c r="D175" s="47" t="e">
        <f>IF(#REF!=5,SUM(#REF!),IF(#REF!=4,SUM(#REF!),IF(#REF!=3,SUM(#REF!),IF(#REF!=2,SUM(#REF!),#REF!))))</f>
        <v>#REF!</v>
      </c>
      <c r="E175" s="47" t="e">
        <f>IF(#REF!=5,SUM(#REF!),IF(#REF!=4,SUM(#REF!),IF(#REF!=3,SUM(#REF!),IF(#REF!=2,SUM(#REF!),#REF!))))</f>
        <v>#REF!</v>
      </c>
      <c r="F175" s="47"/>
      <c r="G175" s="47" t="e">
        <f>IF(#REF!=5,SUM(#REF!),IF(#REF!=4,SUM(#REF!),IF(#REF!=3,SUM(#REF!),IF(#REF!=2,SUM(#REF!),#REF!))))</f>
        <v>#REF!</v>
      </c>
      <c r="H175" s="47" t="e">
        <f>IF(#REF!=5,SUM(#REF!),IF(#REF!=4,SUM(#REF!),IF(#REF!=3,SUM(#REF!),IF(#REF!=2,SUM(#REF!),#REF!))))</f>
        <v>#REF!</v>
      </c>
      <c r="I175" s="47"/>
      <c r="J175" s="47" t="e">
        <f>IF(#REF!=5,SUM(#REF!),IF(#REF!=4,SUM(#REF!),IF(#REF!=3,SUM(#REF!),IF(#REF!=2,SUM(#REF!),#REF!))))</f>
        <v>#REF!</v>
      </c>
      <c r="K175" s="47" t="e">
        <f>IF(#REF!=5,SUM(#REF!),IF(#REF!=4,SUM(#REF!),IF(#REF!=3,SUM(#REF!),IF(#REF!=2,SUM(#REF!),#REF!))))</f>
        <v>#REF!</v>
      </c>
      <c r="L175" s="47"/>
      <c r="M175" s="47" t="e">
        <f>IF(#REF!=5,SUM(#REF!),IF(#REF!=4,SUM(#REF!),IF(#REF!=3,SUM(#REF!),IF(#REF!=2,SUM(#REF!),#REF!))))</f>
        <v>#REF!</v>
      </c>
      <c r="N175" s="47" t="e">
        <f>IF(#REF!=5,SUM(#REF!),IF(#REF!=4,SUM(#REF!),IF(#REF!=3,SUM(#REF!),IF(#REF!=2,SUM(#REF!),#REF!))))</f>
        <v>#REF!</v>
      </c>
      <c r="O175" s="47"/>
      <c r="P175" s="47" t="e">
        <f>IF(#REF!=5,SUM(#REF!),IF(#REF!=4,SUM(#REF!),IF(#REF!=3,SUM(#REF!),IF(#REF!=2,SUM(#REF!),#REF!))))</f>
        <v>#REF!</v>
      </c>
      <c r="Q175" s="47" t="e">
        <f>IF(#REF!=5,SUM(#REF!),IF(#REF!=4,SUM(#REF!),IF(#REF!=3,SUM(#REF!),IF(#REF!=2,SUM(#REF!),#REF!))))</f>
        <v>#REF!</v>
      </c>
      <c r="R175" s="47"/>
      <c r="S175" s="47" t="e">
        <f>IF(#REF!=5,SUM(#REF!),IF(#REF!=4,SUM(#REF!),IF(#REF!=3,SUM(#REF!),IF(#REF!=2,SUM(#REF!),#REF!))))</f>
        <v>#REF!</v>
      </c>
      <c r="T175" s="47" t="e">
        <f>IF(#REF!=5,SUM(#REF!),IF(#REF!=4,SUM(#REF!),IF(#REF!=3,SUM(#REF!),IF(#REF!=2,SUM(#REF!),#REF!))))</f>
        <v>#REF!</v>
      </c>
      <c r="U175" s="47"/>
      <c r="V175" s="47" t="e">
        <f>IF(#REF!=5,SUM(#REF!),IF(#REF!=4,SUM(#REF!),IF(#REF!=3,SUM(#REF!),IF(#REF!=2,SUM(#REF!),#REF!))))</f>
        <v>#REF!</v>
      </c>
      <c r="W175" s="47" t="e">
        <f>IF(#REF!=5,SUM(#REF!),IF(#REF!=4,SUM(#REF!),IF(#REF!=3,SUM(#REF!),IF(#REF!=2,SUM(#REF!),#REF!))))</f>
        <v>#REF!</v>
      </c>
      <c r="X175" s="47"/>
      <c r="Y175" s="47" t="e">
        <f>IF(#REF!=5,SUM(#REF!),IF(#REF!=4,SUM(#REF!),IF(#REF!=3,SUM(#REF!),IF(#REF!=2,SUM(#REF!),#REF!))))</f>
        <v>#REF!</v>
      </c>
      <c r="Z175" s="47" t="e">
        <f>IF(#REF!=5,SUM(#REF!),IF(#REF!=4,SUM(#REF!),IF(#REF!=3,SUM(#REF!),IF(#REF!=2,SUM(#REF!),#REF!))))</f>
        <v>#REF!</v>
      </c>
      <c r="AA175" s="47"/>
      <c r="AB175" s="47" t="e">
        <f>IF(#REF!=5,SUM(#REF!),IF(#REF!=4,SUM(#REF!),IF(#REF!=3,SUM(#REF!),IF(#REF!=2,SUM(#REF!),#REF!))))</f>
        <v>#REF!</v>
      </c>
      <c r="AC175" s="47" t="e">
        <f>IF(#REF!=5,SUM(#REF!),IF(#REF!=4,SUM(#REF!),IF(#REF!=3,SUM(#REF!),IF(#REF!=2,SUM(#REF!),#REF!))))</f>
        <v>#REF!</v>
      </c>
      <c r="AD175" s="47"/>
      <c r="AE175" s="47" t="e">
        <f>IF(#REF!=5,SUM(#REF!),IF(#REF!=4,SUM(#REF!),IF(#REF!=3,SUM(#REF!),IF(#REF!=2,SUM(#REF!),#REF!))))</f>
        <v>#REF!</v>
      </c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</row>
    <row r="176" spans="1:49" s="48" customFormat="1" ht="12.75" hidden="1" customHeight="1" x14ac:dyDescent="0.25">
      <c r="A176" s="48" t="s">
        <v>61</v>
      </c>
      <c r="B176" s="49" t="e">
        <f>IF(AND(#REF!&gt;#REF!,#REF!&gt;0,ISNUMBER(#REF!),ISNUMBER(#REF!)),1,0)</f>
        <v>#REF!</v>
      </c>
      <c r="C176" s="49"/>
      <c r="D176" s="50" t="e">
        <f>IF(AND(#REF!&gt;#REF!,#REF!&gt;0,ISNUMBER(#REF!),ISNUMBER(#REF!)),1,0)</f>
        <v>#REF!</v>
      </c>
      <c r="E176" s="49" t="e">
        <f>IF(AND(#REF!&gt;#REF!,#REF!&gt;1,ISNUMBER(#REF!),ISNUMBER(#REF!)),1,0)</f>
        <v>#REF!</v>
      </c>
      <c r="F176" s="49"/>
      <c r="G176" s="50" t="e">
        <f>IF(AND(#REF!&gt;#REF!,#REF!&gt;1,ISNUMBER(#REF!),ISNUMBER(#REF!)),1,0)</f>
        <v>#REF!</v>
      </c>
      <c r="H176" s="49" t="e">
        <f>IF(AND(#REF!&gt;#REF!,#REF!&gt;2,ISNUMBER(#REF!),ISNUMBER(#REF!)),1,0)</f>
        <v>#REF!</v>
      </c>
      <c r="I176" s="49"/>
      <c r="J176" s="50" t="e">
        <f>IF(AND(#REF!&gt;#REF!,#REF!&gt;2,ISNUMBER(#REF!),ISNUMBER(#REF!)),1,0)</f>
        <v>#REF!</v>
      </c>
      <c r="K176" s="49" t="e">
        <f>IF(AND(#REF!&gt;#REF!,#REF!&gt;3,ISNUMBER(#REF!),ISNUMBER(#REF!)),1,0)</f>
        <v>#REF!</v>
      </c>
      <c r="L176" s="49"/>
      <c r="M176" s="50" t="e">
        <f>IF(AND(#REF!&gt;#REF!,#REF!&gt;3,ISNUMBER(#REF!),ISNUMBER(#REF!)),1,0)</f>
        <v>#REF!</v>
      </c>
      <c r="N176" s="49" t="e">
        <f>IF(AND(#REF!&gt;#REF!,#REF!&gt;4,ISNUMBER(#REF!),ISNUMBER(#REF!)),1,0)</f>
        <v>#REF!</v>
      </c>
      <c r="O176" s="49"/>
      <c r="P176" s="50" t="e">
        <f>IF(AND(#REF!&gt;#REF!,#REF!&gt;4,ISNUMBER(#REF!),ISNUMBER(#REF!)),1,0)</f>
        <v>#REF!</v>
      </c>
      <c r="Q176" s="49" t="e">
        <f>IF(AND(#REF!&gt;#REF!,#REF!&gt;5,ISNUMBER(#REF!),ISNUMBER(#REF!)),1,0)</f>
        <v>#REF!</v>
      </c>
      <c r="R176" s="49"/>
      <c r="S176" s="50" t="e">
        <f>IF(AND(#REF!&gt;#REF!,#REF!&gt;5,ISNUMBER(#REF!),ISNUMBER(#REF!)),1,0)</f>
        <v>#REF!</v>
      </c>
      <c r="T176" s="49" t="e">
        <f>IF(AND(#REF!&gt;#REF!,#REF!&gt;6,ISNUMBER(#REF!),ISNUMBER(#REF!)),1,0)</f>
        <v>#REF!</v>
      </c>
      <c r="U176" s="49"/>
      <c r="V176" s="50" t="e">
        <f>IF(AND(#REF!&gt;#REF!,#REF!&gt;6,ISNUMBER(#REF!),ISNUMBER(#REF!)),1,0)</f>
        <v>#REF!</v>
      </c>
      <c r="W176" s="49" t="e">
        <f>IF(AND(#REF!&gt;#REF!,#REF!&gt;7,ISNUMBER(#REF!),ISNUMBER(#REF!)),1,0)</f>
        <v>#REF!</v>
      </c>
      <c r="X176" s="49"/>
      <c r="Y176" s="50" t="e">
        <f>IF(AND(#REF!&gt;#REF!,#REF!&gt;7,ISNUMBER(#REF!),ISNUMBER(#REF!)),1,0)</f>
        <v>#REF!</v>
      </c>
      <c r="Z176" s="49" t="e">
        <f>IF(AND(#REF!&gt;#REF!,#REF!&gt;8,ISNUMBER(#REF!),ISNUMBER(#REF!)),1,0)</f>
        <v>#REF!</v>
      </c>
      <c r="AA176" s="49"/>
      <c r="AB176" s="50" t="e">
        <f>IF(AND(#REF!&gt;#REF!,#REF!&gt;8,ISNUMBER(#REF!),ISNUMBER(#REF!)),1,0)</f>
        <v>#REF!</v>
      </c>
      <c r="AC176" s="49" t="e">
        <f>IF(AND(#REF!&gt;#REF!,#REF!&gt;9,ISNUMBER(#REF!),ISNUMBER(#REF!)),1,0)</f>
        <v>#REF!</v>
      </c>
      <c r="AD176" s="49"/>
      <c r="AE176" s="50" t="e">
        <f>IF(AND(#REF!&gt;#REF!,#REF!&gt;9,ISNUMBER(#REF!),ISNUMBER(#REF!)),1,0)</f>
        <v>#REF!</v>
      </c>
    </row>
    <row r="177" spans="1:33" s="48" customFormat="1" ht="12.75" hidden="1" customHeight="1" x14ac:dyDescent="0.25">
      <c r="A177" s="48" t="s">
        <v>62</v>
      </c>
      <c r="B177" s="49" t="e">
        <f>IF(AND(#REF!&gt;#REF!,#REF!&gt;0,#REF!&gt;1,ISNUMBER(#REF!),ISNUMBER(#REF!)),1,0)</f>
        <v>#REF!</v>
      </c>
      <c r="C177" s="49"/>
      <c r="D177" s="50" t="e">
        <f>IF(AND(#REF!&gt;#REF!,#REF!&gt;0,#REF!&gt;1,ISNUMBER(#REF!),ISNUMBER(#REF!)),1,0)</f>
        <v>#REF!</v>
      </c>
      <c r="E177" s="49" t="e">
        <f>IF(AND(#REF!&gt;#REF!,#REF!&gt;1,#REF!&gt;1,ISNUMBER(#REF!),ISNUMBER(#REF!)),1,0)</f>
        <v>#REF!</v>
      </c>
      <c r="F177" s="49"/>
      <c r="G177" s="50" t="e">
        <f>IF(AND(#REF!&gt;#REF!,#REF!&gt;1,#REF!&gt;1,ISNUMBER(#REF!),ISNUMBER(#REF!)),1,0)</f>
        <v>#REF!</v>
      </c>
      <c r="H177" s="49" t="e">
        <f>IF(AND(#REF!&gt;#REF!,#REF!&gt;2,#REF!&gt;1,ISNUMBER(#REF!),ISNUMBER(#REF!)),1,0)</f>
        <v>#REF!</v>
      </c>
      <c r="I177" s="49"/>
      <c r="J177" s="50" t="e">
        <f>IF(AND(#REF!&gt;#REF!,#REF!&gt;2,#REF!&gt;1,ISNUMBER(#REF!),ISNUMBER(#REF!)),1,0)</f>
        <v>#REF!</v>
      </c>
      <c r="K177" s="49" t="e">
        <f>IF(AND(#REF!&gt;#REF!,#REF!&gt;3,#REF!&gt;1,ISNUMBER(#REF!),ISNUMBER(#REF!)),1,0)</f>
        <v>#REF!</v>
      </c>
      <c r="L177" s="49"/>
      <c r="M177" s="50" t="e">
        <f>IF(AND(#REF!&gt;#REF!,#REF!&gt;3,#REF!&gt;1,ISNUMBER(#REF!),ISNUMBER(#REF!)),1,0)</f>
        <v>#REF!</v>
      </c>
      <c r="N177" s="49" t="e">
        <f>IF(AND(#REF!&gt;#REF!,#REF!&gt;4,#REF!&gt;1,ISNUMBER(#REF!),ISNUMBER(#REF!)),1,0)</f>
        <v>#REF!</v>
      </c>
      <c r="O177" s="49"/>
      <c r="P177" s="50" t="e">
        <f>IF(AND(#REF!&gt;#REF!,#REF!&gt;4,#REF!&gt;1,ISNUMBER(#REF!),ISNUMBER(#REF!)),1,0)</f>
        <v>#REF!</v>
      </c>
      <c r="Q177" s="49" t="e">
        <f>IF(AND(#REF!&gt;#REF!,#REF!&gt;5,#REF!&gt;1,ISNUMBER(#REF!),ISNUMBER(#REF!)),1,0)</f>
        <v>#REF!</v>
      </c>
      <c r="R177" s="49"/>
      <c r="S177" s="50" t="e">
        <f>IF(AND(#REF!&gt;#REF!,#REF!&gt;5,#REF!&gt;1,ISNUMBER(#REF!),ISNUMBER(#REF!)),1,0)</f>
        <v>#REF!</v>
      </c>
      <c r="T177" s="49" t="e">
        <f>IF(AND(#REF!&gt;#REF!,#REF!&gt;6,#REF!&gt;1,ISNUMBER(#REF!),ISNUMBER(#REF!)),1,0)</f>
        <v>#REF!</v>
      </c>
      <c r="U177" s="49"/>
      <c r="V177" s="50" t="e">
        <f>IF(AND(#REF!&gt;#REF!,#REF!&gt;6,#REF!&gt;1,ISNUMBER(#REF!),ISNUMBER(#REF!)),1,0)</f>
        <v>#REF!</v>
      </c>
      <c r="W177" s="49" t="e">
        <f>IF(AND(#REF!&gt;#REF!,#REF!&gt;7,#REF!&gt;1,ISNUMBER(#REF!),ISNUMBER(#REF!)),1,0)</f>
        <v>#REF!</v>
      </c>
      <c r="X177" s="49"/>
      <c r="Y177" s="50" t="e">
        <f>IF(AND(#REF!&gt;#REF!,#REF!&gt;7,#REF!&gt;1,ISNUMBER(#REF!),ISNUMBER(#REF!)),1,0)</f>
        <v>#REF!</v>
      </c>
      <c r="Z177" s="49" t="e">
        <f>IF(AND(#REF!&gt;#REF!,#REF!&gt;8,#REF!&gt;1,ISNUMBER(#REF!),ISNUMBER(#REF!)),1,0)</f>
        <v>#REF!</v>
      </c>
      <c r="AA177" s="49"/>
      <c r="AB177" s="50" t="e">
        <f>IF(AND(#REF!&gt;#REF!,#REF!&gt;8,#REF!&gt;1,ISNUMBER(#REF!),ISNUMBER(#REF!)),1,0)</f>
        <v>#REF!</v>
      </c>
      <c r="AC177" s="49" t="e">
        <f>IF(AND(#REF!&gt;#REF!,#REF!&gt;9,#REF!&gt;1,ISNUMBER(#REF!),ISNUMBER(#REF!)),1,0)</f>
        <v>#REF!</v>
      </c>
      <c r="AD177" s="49"/>
      <c r="AE177" s="50" t="e">
        <f>IF(AND(#REF!&gt;#REF!,#REF!&gt;9,#REF!&gt;1,ISNUMBER(#REF!),ISNUMBER(#REF!)),1,0)</f>
        <v>#REF!</v>
      </c>
    </row>
    <row r="178" spans="1:33" s="48" customFormat="1" ht="12.75" hidden="1" customHeight="1" x14ac:dyDescent="0.25">
      <c r="A178" s="48" t="s">
        <v>63</v>
      </c>
      <c r="B178" s="49" t="e">
        <f>IF(AND(#REF!&gt;#REF!,#REF!&gt;0,#REF!&gt;2,ISNUMBER(#REF!),ISNUMBER(#REF!)),1,0)</f>
        <v>#REF!</v>
      </c>
      <c r="C178" s="49"/>
      <c r="D178" s="50" t="e">
        <f>IF(AND(#REF!&gt;#REF!,#REF!&gt;0,#REF!&gt;2,ISNUMBER(#REF!),ISNUMBER(#REF!)),1,0)</f>
        <v>#REF!</v>
      </c>
      <c r="E178" s="49" t="e">
        <f>IF(AND(#REF!&gt;#REF!,#REF!&gt;1,#REF!&gt;2,ISNUMBER(#REF!),ISNUMBER(#REF!)),1,0)</f>
        <v>#REF!</v>
      </c>
      <c r="F178" s="49"/>
      <c r="G178" s="50" t="e">
        <f>IF(AND(#REF!&gt;#REF!,#REF!&gt;1,#REF!&gt;2,ISNUMBER(#REF!),ISNUMBER(#REF!)),1,0)</f>
        <v>#REF!</v>
      </c>
      <c r="H178" s="49" t="e">
        <f>IF(AND(#REF!&gt;#REF!,#REF!&gt;2,#REF!&gt;2,ISNUMBER(#REF!),ISNUMBER(#REF!)),1,0)</f>
        <v>#REF!</v>
      </c>
      <c r="I178" s="49"/>
      <c r="J178" s="50" t="e">
        <f>IF(AND(#REF!&gt;#REF!,#REF!&gt;2,#REF!&gt;2,ISNUMBER(#REF!),ISNUMBER(#REF!)),1,0)</f>
        <v>#REF!</v>
      </c>
      <c r="K178" s="49" t="e">
        <f>IF(AND(#REF!&gt;#REF!,#REF!&gt;3,#REF!&gt;2,ISNUMBER(#REF!),ISNUMBER(#REF!)),1,0)</f>
        <v>#REF!</v>
      </c>
      <c r="L178" s="49"/>
      <c r="M178" s="50" t="e">
        <f>IF(AND(#REF!&gt;#REF!,#REF!&gt;3,#REF!&gt;2,ISNUMBER(#REF!),ISNUMBER(#REF!)),1,0)</f>
        <v>#REF!</v>
      </c>
      <c r="N178" s="49" t="e">
        <f>IF(AND(#REF!&gt;#REF!,#REF!&gt;4,#REF!&gt;2,ISNUMBER(#REF!),ISNUMBER(#REF!)),1,0)</f>
        <v>#REF!</v>
      </c>
      <c r="O178" s="49"/>
      <c r="P178" s="50" t="e">
        <f>IF(AND(#REF!&gt;#REF!,#REF!&gt;4,#REF!&gt;2,ISNUMBER(#REF!),ISNUMBER(#REF!)),1,0)</f>
        <v>#REF!</v>
      </c>
      <c r="Q178" s="49" t="e">
        <f>IF(AND(#REF!&gt;#REF!,#REF!&gt;5,#REF!&gt;2,ISNUMBER(#REF!),ISNUMBER(#REF!)),1,0)</f>
        <v>#REF!</v>
      </c>
      <c r="R178" s="49"/>
      <c r="S178" s="50" t="e">
        <f>IF(AND(#REF!&gt;#REF!,#REF!&gt;5,#REF!&gt;2,ISNUMBER(#REF!),ISNUMBER(#REF!)),1,0)</f>
        <v>#REF!</v>
      </c>
      <c r="T178" s="49" t="e">
        <f>IF(AND(#REF!&gt;#REF!,#REF!&gt;6,#REF!&gt;2,ISNUMBER(#REF!),ISNUMBER(#REF!)),1,0)</f>
        <v>#REF!</v>
      </c>
      <c r="U178" s="49"/>
      <c r="V178" s="50" t="e">
        <f>IF(AND(#REF!&gt;#REF!,#REF!&gt;6,#REF!&gt;2,ISNUMBER(#REF!),ISNUMBER(#REF!)),1,0)</f>
        <v>#REF!</v>
      </c>
      <c r="W178" s="49" t="e">
        <f>IF(AND(#REF!&gt;#REF!,#REF!&gt;7,#REF!&gt;2,ISNUMBER(#REF!),ISNUMBER(#REF!)),1,0)</f>
        <v>#REF!</v>
      </c>
      <c r="X178" s="49"/>
      <c r="Y178" s="50" t="e">
        <f>IF(AND(#REF!&gt;#REF!,#REF!&gt;7,#REF!&gt;2,ISNUMBER(#REF!),ISNUMBER(#REF!)),1,0)</f>
        <v>#REF!</v>
      </c>
      <c r="Z178" s="49" t="e">
        <f>IF(AND(#REF!&gt;#REF!,#REF!&gt;8,#REF!&gt;2,ISNUMBER(#REF!),ISNUMBER(#REF!)),1,0)</f>
        <v>#REF!</v>
      </c>
      <c r="AA178" s="49"/>
      <c r="AB178" s="50" t="e">
        <f>IF(AND(#REF!&gt;#REF!,#REF!&gt;8,#REF!&gt;2,ISNUMBER(#REF!),ISNUMBER(#REF!)),1,0)</f>
        <v>#REF!</v>
      </c>
      <c r="AC178" s="49" t="e">
        <f>IF(AND(#REF!&gt;#REF!,#REF!&gt;9,#REF!&gt;2,ISNUMBER(#REF!),ISNUMBER(#REF!)),1,0)</f>
        <v>#REF!</v>
      </c>
      <c r="AD178" s="49"/>
      <c r="AE178" s="50" t="e">
        <f>IF(AND(#REF!&gt;#REF!,#REF!&gt;9,#REF!&gt;2,ISNUMBER(#REF!),ISNUMBER(#REF!)),1,0)</f>
        <v>#REF!</v>
      </c>
    </row>
    <row r="179" spans="1:33" s="48" customFormat="1" ht="12.75" hidden="1" customHeight="1" x14ac:dyDescent="0.25">
      <c r="A179" s="48" t="s">
        <v>64</v>
      </c>
      <c r="B179" s="49" t="e">
        <f>IF(AND(#REF!&gt;#REF!,#REF!&gt;0,#REF!&gt;3,ISNUMBER(#REF!),ISNUMBER(#REF!)),1,0)</f>
        <v>#REF!</v>
      </c>
      <c r="C179" s="49"/>
      <c r="D179" s="50" t="e">
        <f>IF(AND(#REF!&gt;#REF!,#REF!&gt;0,#REF!&gt;3,ISNUMBER(#REF!),ISNUMBER(#REF!)),1,0)</f>
        <v>#REF!</v>
      </c>
      <c r="E179" s="49" t="e">
        <f>IF(AND(#REF!&gt;#REF!,#REF!&gt;1,#REF!&gt;3,ISNUMBER(#REF!),ISNUMBER(#REF!)),1,0)</f>
        <v>#REF!</v>
      </c>
      <c r="F179" s="49"/>
      <c r="G179" s="50" t="e">
        <f>IF(AND(#REF!&gt;#REF!,#REF!&gt;1,#REF!&gt;3,ISNUMBER(#REF!),ISNUMBER(#REF!)),1,0)</f>
        <v>#REF!</v>
      </c>
      <c r="H179" s="49" t="e">
        <f>IF(AND(#REF!&gt;#REF!,#REF!&gt;2,#REF!&gt;3,ISNUMBER(#REF!),ISNUMBER(#REF!)),1,0)</f>
        <v>#REF!</v>
      </c>
      <c r="I179" s="49"/>
      <c r="J179" s="50" t="e">
        <f>IF(AND(#REF!&gt;#REF!,#REF!&gt;2,#REF!&gt;3,ISNUMBER(#REF!),ISNUMBER(#REF!)),1,0)</f>
        <v>#REF!</v>
      </c>
      <c r="K179" s="49" t="e">
        <f>IF(AND(#REF!&gt;#REF!,#REF!&gt;3,#REF!&gt;3,ISNUMBER(#REF!),ISNUMBER(#REF!)),1,0)</f>
        <v>#REF!</v>
      </c>
      <c r="L179" s="49"/>
      <c r="M179" s="50" t="e">
        <f>IF(AND(#REF!&gt;#REF!,#REF!&gt;3,#REF!&gt;3,ISNUMBER(#REF!),ISNUMBER(#REF!)),1,0)</f>
        <v>#REF!</v>
      </c>
      <c r="N179" s="49" t="e">
        <f>IF(AND(#REF!&gt;#REF!,#REF!&gt;4,#REF!&gt;3,ISNUMBER(#REF!),ISNUMBER(#REF!)),1,0)</f>
        <v>#REF!</v>
      </c>
      <c r="O179" s="49"/>
      <c r="P179" s="50" t="e">
        <f>IF(AND(#REF!&gt;#REF!,#REF!&gt;4,#REF!&gt;3,ISNUMBER(#REF!),ISNUMBER(#REF!)),1,0)</f>
        <v>#REF!</v>
      </c>
      <c r="Q179" s="49" t="e">
        <f>IF(AND(#REF!&gt;#REF!,#REF!&gt;5,#REF!&gt;3,ISNUMBER(#REF!),ISNUMBER(#REF!)),1,0)</f>
        <v>#REF!</v>
      </c>
      <c r="R179" s="49"/>
      <c r="S179" s="50" t="e">
        <f>IF(AND(#REF!&gt;#REF!,#REF!&gt;5,#REF!&gt;3,ISNUMBER(#REF!),ISNUMBER(#REF!)),1,0)</f>
        <v>#REF!</v>
      </c>
      <c r="T179" s="49" t="e">
        <f>IF(AND(#REF!&gt;#REF!,#REF!&gt;6,#REF!&gt;3,ISNUMBER(#REF!),ISNUMBER(#REF!)),1,0)</f>
        <v>#REF!</v>
      </c>
      <c r="U179" s="49"/>
      <c r="V179" s="50" t="e">
        <f>IF(AND(#REF!&gt;#REF!,#REF!&gt;6,#REF!&gt;3,ISNUMBER(#REF!),ISNUMBER(#REF!)),1,0)</f>
        <v>#REF!</v>
      </c>
      <c r="W179" s="49" t="e">
        <f>IF(AND(#REF!&gt;#REF!,#REF!&gt;7,#REF!&gt;3,ISNUMBER(#REF!),ISNUMBER(#REF!)),1,0)</f>
        <v>#REF!</v>
      </c>
      <c r="X179" s="49"/>
      <c r="Y179" s="50" t="e">
        <f>IF(AND(#REF!&gt;#REF!,#REF!&gt;7,#REF!&gt;3,ISNUMBER(#REF!),ISNUMBER(#REF!)),1,0)</f>
        <v>#REF!</v>
      </c>
      <c r="Z179" s="49" t="e">
        <f>IF(AND(#REF!&gt;#REF!,#REF!&gt;8,#REF!&gt;3,ISNUMBER(#REF!),ISNUMBER(#REF!)),1,0)</f>
        <v>#REF!</v>
      </c>
      <c r="AA179" s="49"/>
      <c r="AB179" s="50" t="e">
        <f>IF(AND(#REF!&gt;#REF!,#REF!&gt;8,#REF!&gt;3,ISNUMBER(#REF!),ISNUMBER(#REF!)),1,0)</f>
        <v>#REF!</v>
      </c>
      <c r="AC179" s="49" t="e">
        <f>IF(AND(#REF!&gt;#REF!,#REF!&gt;9,#REF!&gt;3,ISNUMBER(#REF!),ISNUMBER(#REF!)),1,0)</f>
        <v>#REF!</v>
      </c>
      <c r="AD179" s="49"/>
      <c r="AE179" s="50" t="e">
        <f>IF(AND(#REF!&gt;#REF!,#REF!&gt;9,#REF!&gt;3,ISNUMBER(#REF!),ISNUMBER(#REF!)),1,0)</f>
        <v>#REF!</v>
      </c>
    </row>
    <row r="180" spans="1:33" s="48" customFormat="1" ht="12.75" hidden="1" customHeight="1" x14ac:dyDescent="0.25">
      <c r="A180" s="48" t="s">
        <v>65</v>
      </c>
      <c r="B180" s="49" t="e">
        <f>IF(AND(#REF!&gt;#REF!,#REF!&gt;0,#REF!&gt;4,ISNUMBER(#REF!),ISNUMBER(#REF!)),1,0)</f>
        <v>#REF!</v>
      </c>
      <c r="C180" s="49"/>
      <c r="D180" s="50" t="e">
        <f>IF(AND(#REF!&gt;#REF!,#REF!&gt;0,#REF!&gt;4,ISNUMBER(#REF!),ISNUMBER(#REF!)),1,0)</f>
        <v>#REF!</v>
      </c>
      <c r="E180" s="49" t="e">
        <f>IF(AND(#REF!&gt;#REF!,#REF!&gt;1,#REF!&gt;4,ISNUMBER(#REF!),ISNUMBER(#REF!)),1,0)</f>
        <v>#REF!</v>
      </c>
      <c r="F180" s="49"/>
      <c r="G180" s="50" t="e">
        <f>IF(AND(#REF!&gt;#REF!,#REF!&gt;1,#REF!&gt;4,ISNUMBER(#REF!),ISNUMBER(#REF!)),1,0)</f>
        <v>#REF!</v>
      </c>
      <c r="H180" s="49" t="e">
        <f>IF(AND(#REF!&gt;#REF!,#REF!&gt;2,#REF!&gt;4,ISNUMBER(#REF!),ISNUMBER(#REF!)),1,0)</f>
        <v>#REF!</v>
      </c>
      <c r="I180" s="49"/>
      <c r="J180" s="50" t="e">
        <f>IF(AND(#REF!&gt;#REF!,#REF!&gt;2,#REF!&gt;4,ISNUMBER(#REF!),ISNUMBER(#REF!)),1,0)</f>
        <v>#REF!</v>
      </c>
      <c r="K180" s="49" t="e">
        <f>IF(AND(#REF!&gt;#REF!,#REF!&gt;3,#REF!&gt;4,ISNUMBER(#REF!),ISNUMBER(#REF!)),1,0)</f>
        <v>#REF!</v>
      </c>
      <c r="L180" s="49"/>
      <c r="M180" s="50" t="e">
        <f>IF(AND(#REF!&gt;#REF!,#REF!&gt;3,#REF!&gt;4,ISNUMBER(#REF!),ISNUMBER(#REF!)),1,0)</f>
        <v>#REF!</v>
      </c>
      <c r="N180" s="49" t="e">
        <f>IF(AND(#REF!&gt;#REF!,#REF!&gt;4,#REF!&gt;4,ISNUMBER(#REF!),ISNUMBER(#REF!)),1,0)</f>
        <v>#REF!</v>
      </c>
      <c r="O180" s="49"/>
      <c r="P180" s="50" t="e">
        <f>IF(AND(#REF!&gt;#REF!,#REF!&gt;4,#REF!&gt;4,ISNUMBER(#REF!),ISNUMBER(#REF!)),1,0)</f>
        <v>#REF!</v>
      </c>
      <c r="Q180" s="49" t="e">
        <f>IF(AND(#REF!&gt;#REF!,#REF!&gt;5,#REF!&gt;4,ISNUMBER(#REF!),ISNUMBER(#REF!)),1,0)</f>
        <v>#REF!</v>
      </c>
      <c r="R180" s="49"/>
      <c r="S180" s="50" t="e">
        <f>IF(AND(#REF!&gt;#REF!,#REF!&gt;5,#REF!&gt;4,ISNUMBER(#REF!),ISNUMBER(#REF!)),1,0)</f>
        <v>#REF!</v>
      </c>
      <c r="T180" s="49" t="e">
        <f>IF(AND(#REF!&gt;#REF!,#REF!&gt;6,#REF!&gt;4,ISNUMBER(#REF!),ISNUMBER(#REF!)),1,0)</f>
        <v>#REF!</v>
      </c>
      <c r="U180" s="49"/>
      <c r="V180" s="50" t="e">
        <f>IF(AND(#REF!&gt;#REF!,#REF!&gt;6,#REF!&gt;4,ISNUMBER(#REF!),ISNUMBER(#REF!)),1,0)</f>
        <v>#REF!</v>
      </c>
      <c r="W180" s="49" t="e">
        <f>IF(AND(#REF!&gt;#REF!,#REF!&gt;7,#REF!&gt;4,ISNUMBER(#REF!),ISNUMBER(#REF!)),1,0)</f>
        <v>#REF!</v>
      </c>
      <c r="X180" s="49"/>
      <c r="Y180" s="50" t="e">
        <f>IF(AND(#REF!&gt;#REF!,#REF!&gt;7,#REF!&gt;4,ISNUMBER(#REF!),ISNUMBER(#REF!)),1,0)</f>
        <v>#REF!</v>
      </c>
      <c r="Z180" s="49" t="e">
        <f>IF(AND(#REF!&gt;#REF!,#REF!&gt;8,#REF!&gt;4,ISNUMBER(#REF!),ISNUMBER(#REF!)),1,0)</f>
        <v>#REF!</v>
      </c>
      <c r="AA180" s="49"/>
      <c r="AB180" s="50" t="e">
        <f>IF(AND(#REF!&gt;#REF!,#REF!&gt;8,#REF!&gt;4,ISNUMBER(#REF!),ISNUMBER(#REF!)),1,0)</f>
        <v>#REF!</v>
      </c>
      <c r="AC180" s="49" t="e">
        <f>IF(AND(#REF!&gt;#REF!,#REF!&gt;9,#REF!&gt;4,ISNUMBER(#REF!),ISNUMBER(#REF!)),1,0)</f>
        <v>#REF!</v>
      </c>
      <c r="AD180" s="49"/>
      <c r="AE180" s="50" t="e">
        <f>IF(AND(#REF!&gt;#REF!,#REF!&gt;9,#REF!&gt;4,ISNUMBER(#REF!),ISNUMBER(#REF!)),1,0)</f>
        <v>#REF!</v>
      </c>
    </row>
    <row r="181" spans="1:33" s="48" customFormat="1" ht="38.25" hidden="1" customHeight="1" x14ac:dyDescent="0.25">
      <c r="A181" s="51" t="s">
        <v>66</v>
      </c>
      <c r="B181" s="48" t="e">
        <f>SUM(B176:B180)</f>
        <v>#REF!</v>
      </c>
      <c r="D181" s="52" t="e">
        <f>SUM(D176:D180)</f>
        <v>#REF!</v>
      </c>
      <c r="E181" s="48" t="e">
        <f>SUM(E176:E180)</f>
        <v>#REF!</v>
      </c>
      <c r="G181" s="52" t="e">
        <f>SUM(G176:G180)</f>
        <v>#REF!</v>
      </c>
      <c r="H181" s="48" t="e">
        <f>SUM(H176:H180)</f>
        <v>#REF!</v>
      </c>
      <c r="J181" s="52" t="e">
        <f>SUM(J176:J180)</f>
        <v>#REF!</v>
      </c>
      <c r="K181" s="48" t="e">
        <f>SUM(K176:K180)</f>
        <v>#REF!</v>
      </c>
      <c r="M181" s="52" t="e">
        <f>SUM(M176:M180)</f>
        <v>#REF!</v>
      </c>
      <c r="N181" s="48" t="e">
        <f>SUM(N176:N180)</f>
        <v>#REF!</v>
      </c>
      <c r="P181" s="52" t="e">
        <f>SUM(P176:P180)</f>
        <v>#REF!</v>
      </c>
      <c r="Q181" s="48" t="e">
        <f>SUM(Q176:Q180)</f>
        <v>#REF!</v>
      </c>
      <c r="S181" s="52" t="e">
        <f>SUM(S176:S180)</f>
        <v>#REF!</v>
      </c>
      <c r="T181" s="48" t="e">
        <f>SUM(T176:T180)</f>
        <v>#REF!</v>
      </c>
      <c r="V181" s="52" t="e">
        <f>SUM(V176:V180)</f>
        <v>#REF!</v>
      </c>
      <c r="W181" s="48" t="e">
        <f>SUM(W176:W180)</f>
        <v>#REF!</v>
      </c>
      <c r="Y181" s="52" t="e">
        <f>SUM(Y176:Y180)</f>
        <v>#REF!</v>
      </c>
      <c r="Z181" s="48" t="e">
        <f>SUM(Z176:Z180)</f>
        <v>#REF!</v>
      </c>
      <c r="AB181" s="52" t="e">
        <f>SUM(AB176:AB180)</f>
        <v>#REF!</v>
      </c>
      <c r="AC181" s="48" t="e">
        <f>SUM(AC176:AC180)</f>
        <v>#REF!</v>
      </c>
      <c r="AE181" s="52" t="e">
        <f>SUM(AE176:AE180)</f>
        <v>#REF!</v>
      </c>
    </row>
    <row r="182" spans="1:33" s="48" customFormat="1" ht="25.5" hidden="1" customHeight="1" x14ac:dyDescent="0.25">
      <c r="A182" s="51" t="s">
        <v>67</v>
      </c>
      <c r="B182" s="48" t="e">
        <f>IF(B181&gt;D181,IF(C216=#REF!,1,IF(C216=#REF!-1,1,0)),0)</f>
        <v>#REF!</v>
      </c>
      <c r="C182" s="48" t="e">
        <f>B182+D182</f>
        <v>#REF!</v>
      </c>
      <c r="D182" s="52" t="e">
        <f>IF(D181&gt;B181,IF(C216=#REF!,1,IF(C216=#REF!-1,1,0)),0)</f>
        <v>#REF!</v>
      </c>
      <c r="E182" s="48" t="e">
        <f>IF(E181&gt;G181,IF(F216=#REF!,1,IF(F216=#REF!-1,1,0)),0)</f>
        <v>#REF!</v>
      </c>
      <c r="F182" s="48" t="e">
        <f>E182+G182</f>
        <v>#REF!</v>
      </c>
      <c r="G182" s="52" t="e">
        <f>IF(G181&gt;E181,IF(F216=#REF!,1,IF(F216=#REF!-1,1,0)),0)</f>
        <v>#REF!</v>
      </c>
      <c r="H182" s="48" t="e">
        <f>IF(H181&gt;J181,IF(I216=#REF!,1,IF(I216=#REF!-1,1,0)),0)</f>
        <v>#REF!</v>
      </c>
      <c r="I182" s="48" t="e">
        <f>H182+J182</f>
        <v>#REF!</v>
      </c>
      <c r="J182" s="52" t="e">
        <f>IF(J181&gt;H181,IF(I216=#REF!,1,IF(I216=#REF!-1,1,0)),0)</f>
        <v>#REF!</v>
      </c>
      <c r="K182" s="48" t="e">
        <f>IF(K181&gt;M181,IF(L216=#REF!,1,IF(L216=#REF!-1,1,0)),0)</f>
        <v>#REF!</v>
      </c>
      <c r="L182" s="48" t="e">
        <f>K182+M182</f>
        <v>#REF!</v>
      </c>
      <c r="M182" s="52" t="e">
        <f>IF(M181&gt;K181,IF(L216=#REF!,1,IF(L216=#REF!-1,1,0)),0)</f>
        <v>#REF!</v>
      </c>
      <c r="N182" s="48" t="e">
        <f>IF(N181&gt;P181,IF(O216=#REF!,1,IF(O216=#REF!-1,1,0)),0)</f>
        <v>#REF!</v>
      </c>
      <c r="O182" s="48" t="e">
        <f>N182+P182</f>
        <v>#REF!</v>
      </c>
      <c r="P182" s="52" t="e">
        <f>IF(P181&gt;N181,IF(O216=#REF!,1,IF(O216=#REF!-1,1,0)),0)</f>
        <v>#REF!</v>
      </c>
      <c r="Q182" s="48" t="e">
        <f>IF(Q181&gt;S181,IF(R216=#REF!,1,IF(R216=#REF!-1,1,0)),0)</f>
        <v>#REF!</v>
      </c>
      <c r="R182" s="48" t="e">
        <f>Q182+S182</f>
        <v>#REF!</v>
      </c>
      <c r="S182" s="52" t="e">
        <f>IF(S181&gt;Q181,IF(R216=#REF!,1,IF(R216=#REF!-1,1,0)),0)</f>
        <v>#REF!</v>
      </c>
      <c r="T182" s="48" t="e">
        <f>IF(T181&gt;V181,IF(U216=#REF!,1,IF(U216=#REF!-1,1,0)),0)</f>
        <v>#REF!</v>
      </c>
      <c r="U182" s="48" t="e">
        <f>T182+V182</f>
        <v>#REF!</v>
      </c>
      <c r="V182" s="52" t="e">
        <f>IF(V181&gt;T181,IF(U216=#REF!,1,IF(U216=#REF!-1,1,0)),0)</f>
        <v>#REF!</v>
      </c>
      <c r="W182" s="48" t="e">
        <f>IF(W181&gt;Y181,IF(X216=#REF!,1,IF(X216=#REF!-1,1,0)),0)</f>
        <v>#REF!</v>
      </c>
      <c r="X182" s="48" t="e">
        <f>W182+Y182</f>
        <v>#REF!</v>
      </c>
      <c r="Y182" s="52" t="e">
        <f>IF(Y181&gt;W181,IF(X216=#REF!,1,IF(X216=#REF!-1,1,0)),0)</f>
        <v>#REF!</v>
      </c>
      <c r="Z182" s="48" t="e">
        <f>IF(Z181&gt;AB181,IF(AA216=#REF!,1,IF(AA216=#REF!-1,1,0)),0)</f>
        <v>#REF!</v>
      </c>
      <c r="AA182" s="48" t="e">
        <f>Z182+AB182</f>
        <v>#REF!</v>
      </c>
      <c r="AB182" s="52" t="e">
        <f>IF(AB181&gt;Z181,IF(AA216=#REF!,1,IF(AA216=#REF!-1,1,0)),0)</f>
        <v>#REF!</v>
      </c>
      <c r="AC182" s="48" t="e">
        <f>IF(AC181&gt;AE181,IF(AD216=#REF!,1,IF(AD216=#REF!-1,1,0)),0)</f>
        <v>#REF!</v>
      </c>
      <c r="AD182" s="48" t="e">
        <f>AC182+AE182</f>
        <v>#REF!</v>
      </c>
      <c r="AE182" s="52" t="e">
        <f>IF(AE181&gt;AC181,IF(AD216=#REF!,1,IF(AD216=#REF!-1,1,0)),0)</f>
        <v>#REF!</v>
      </c>
    </row>
    <row r="183" spans="1:33" s="48" customFormat="1" ht="25.5" hidden="1" customHeight="1" x14ac:dyDescent="0.25">
      <c r="A183" s="51"/>
      <c r="D183" s="52"/>
      <c r="G183" s="52"/>
      <c r="J183" s="52"/>
      <c r="M183" s="52"/>
      <c r="P183" s="52"/>
      <c r="S183" s="52"/>
      <c r="V183" s="52"/>
      <c r="Y183" s="52"/>
      <c r="AB183" s="52"/>
      <c r="AE183" s="52"/>
    </row>
    <row r="184" spans="1:33" s="48" customFormat="1" ht="12.75" hidden="1" customHeight="1" x14ac:dyDescent="0.25">
      <c r="A184" s="48" t="s">
        <v>68</v>
      </c>
      <c r="B184" s="48" t="e">
        <f>IF(B176=1,#REF!,0)</f>
        <v>#REF!</v>
      </c>
      <c r="D184" s="52" t="e">
        <f>IF(D176=1,#REF!,0)</f>
        <v>#REF!</v>
      </c>
      <c r="E184" s="48" t="e">
        <f>IF(E176=1,#REF!,0)</f>
        <v>#REF!</v>
      </c>
      <c r="G184" s="52" t="e">
        <f>IF(G176=1,#REF!,0)</f>
        <v>#REF!</v>
      </c>
      <c r="H184" s="48" t="e">
        <f>IF(H176=1,#REF!,0)</f>
        <v>#REF!</v>
      </c>
      <c r="J184" s="52" t="e">
        <f>IF(J176=1,#REF!,0)</f>
        <v>#REF!</v>
      </c>
      <c r="K184" s="48" t="e">
        <f>IF(K176=1,#REF!,0)</f>
        <v>#REF!</v>
      </c>
      <c r="M184" s="52" t="e">
        <f>IF(M176=1,#REF!,0)</f>
        <v>#REF!</v>
      </c>
      <c r="N184" s="48" t="e">
        <f>IF(N176=1,#REF!,0)</f>
        <v>#REF!</v>
      </c>
      <c r="P184" s="52" t="e">
        <f>IF(P176=1,#REF!,0)</f>
        <v>#REF!</v>
      </c>
      <c r="Q184" s="48" t="e">
        <f>IF(Q176=1,#REF!,0)</f>
        <v>#REF!</v>
      </c>
      <c r="S184" s="52" t="e">
        <f>IF(S176=1,#REF!,0)</f>
        <v>#REF!</v>
      </c>
      <c r="T184" s="48" t="e">
        <f>IF(T176=1,#REF!,0)</f>
        <v>#REF!</v>
      </c>
      <c r="V184" s="52" t="e">
        <f>IF(V176=1,#REF!,0)</f>
        <v>#REF!</v>
      </c>
      <c r="W184" s="48" t="e">
        <f>IF(W176=1,#REF!,0)</f>
        <v>#REF!</v>
      </c>
      <c r="Y184" s="52" t="e">
        <f>IF(Y176=1,#REF!,0)</f>
        <v>#REF!</v>
      </c>
      <c r="Z184" s="48" t="e">
        <f>IF(Z176=1,#REF!,0)</f>
        <v>#REF!</v>
      </c>
      <c r="AB184" s="52" t="e">
        <f>IF(AB176=1,#REF!,0)</f>
        <v>#REF!</v>
      </c>
      <c r="AC184" s="48" t="e">
        <f>IF(AC176=1,#REF!,0)</f>
        <v>#REF!</v>
      </c>
      <c r="AE184" s="52" t="e">
        <f>IF(AE176=1,#REF!,0)</f>
        <v>#REF!</v>
      </c>
    </row>
    <row r="185" spans="1:33" s="48" customFormat="1" ht="12.75" hidden="1" customHeight="1" x14ac:dyDescent="0.25">
      <c r="A185" s="48" t="s">
        <v>69</v>
      </c>
      <c r="B185" s="48" t="e">
        <f>IF(B177=1,#REF!,0)</f>
        <v>#REF!</v>
      </c>
      <c r="D185" s="52" t="e">
        <f>IF(D177=1,#REF!,0)</f>
        <v>#REF!</v>
      </c>
      <c r="E185" s="48" t="e">
        <f>IF(E177=1,#REF!,0)</f>
        <v>#REF!</v>
      </c>
      <c r="G185" s="52" t="e">
        <f>IF(G177=1,#REF!,0)</f>
        <v>#REF!</v>
      </c>
      <c r="H185" s="48" t="e">
        <f>IF(H177=1,#REF!,0)</f>
        <v>#REF!</v>
      </c>
      <c r="J185" s="52" t="e">
        <f>IF(J177=1,#REF!,0)</f>
        <v>#REF!</v>
      </c>
      <c r="K185" s="48" t="e">
        <f>IF(K177=1,#REF!,0)</f>
        <v>#REF!</v>
      </c>
      <c r="M185" s="52" t="e">
        <f>IF(M177=1,#REF!,0)</f>
        <v>#REF!</v>
      </c>
      <c r="N185" s="48" t="e">
        <f>IF(N177=1,#REF!,0)</f>
        <v>#REF!</v>
      </c>
      <c r="P185" s="52" t="e">
        <f>IF(P177=1,#REF!,0)</f>
        <v>#REF!</v>
      </c>
      <c r="Q185" s="48" t="e">
        <f>IF(Q177=1,#REF!,0)</f>
        <v>#REF!</v>
      </c>
      <c r="S185" s="52" t="e">
        <f>IF(S177=1,#REF!,0)</f>
        <v>#REF!</v>
      </c>
      <c r="T185" s="48" t="e">
        <f>IF(T177=1,#REF!,0)</f>
        <v>#REF!</v>
      </c>
      <c r="V185" s="52" t="e">
        <f>IF(V177=1,#REF!,0)</f>
        <v>#REF!</v>
      </c>
      <c r="W185" s="48" t="e">
        <f>IF(W177=1,#REF!,0)</f>
        <v>#REF!</v>
      </c>
      <c r="Y185" s="52" t="e">
        <f>IF(Y177=1,#REF!,0)</f>
        <v>#REF!</v>
      </c>
      <c r="Z185" s="48" t="e">
        <f>IF(Z177=1,#REF!,0)</f>
        <v>#REF!</v>
      </c>
      <c r="AB185" s="52" t="e">
        <f>IF(AB177=1,#REF!,0)</f>
        <v>#REF!</v>
      </c>
      <c r="AC185" s="48" t="e">
        <f>IF(AC177=1,#REF!,0)</f>
        <v>#REF!</v>
      </c>
      <c r="AE185" s="52" t="e">
        <f>IF(AE177=1,#REF!,0)</f>
        <v>#REF!</v>
      </c>
    </row>
    <row r="186" spans="1:33" s="48" customFormat="1" ht="12.75" hidden="1" customHeight="1" x14ac:dyDescent="0.25">
      <c r="A186" s="48" t="s">
        <v>70</v>
      </c>
      <c r="B186" s="48" t="e">
        <f>IF(B178=1,#REF!,0)</f>
        <v>#REF!</v>
      </c>
      <c r="D186" s="52" t="e">
        <f>IF(D178=1,#REF!,0)</f>
        <v>#REF!</v>
      </c>
      <c r="E186" s="48" t="e">
        <f>IF(E178=1,#REF!,0)</f>
        <v>#REF!</v>
      </c>
      <c r="G186" s="52" t="e">
        <f>IF(G178=1,#REF!,0)</f>
        <v>#REF!</v>
      </c>
      <c r="H186" s="48" t="e">
        <f>IF(H178=1,#REF!,0)</f>
        <v>#REF!</v>
      </c>
      <c r="J186" s="52" t="e">
        <f>IF(J178=1,#REF!,0)</f>
        <v>#REF!</v>
      </c>
      <c r="K186" s="48" t="e">
        <f>IF(K178=1,#REF!,0)</f>
        <v>#REF!</v>
      </c>
      <c r="M186" s="52" t="e">
        <f>IF(M178=1,#REF!,0)</f>
        <v>#REF!</v>
      </c>
      <c r="N186" s="48" t="e">
        <f>IF(N178=1,#REF!,0)</f>
        <v>#REF!</v>
      </c>
      <c r="P186" s="52" t="e">
        <f>IF(P178=1,#REF!,0)</f>
        <v>#REF!</v>
      </c>
      <c r="Q186" s="48" t="e">
        <f>IF(Q178=1,#REF!,0)</f>
        <v>#REF!</v>
      </c>
      <c r="S186" s="52" t="e">
        <f>IF(S178=1,#REF!,0)</f>
        <v>#REF!</v>
      </c>
      <c r="T186" s="48" t="e">
        <f>IF(T178=1,#REF!,0)</f>
        <v>#REF!</v>
      </c>
      <c r="V186" s="52" t="e">
        <f>IF(V178=1,#REF!,0)</f>
        <v>#REF!</v>
      </c>
      <c r="W186" s="48" t="e">
        <f>IF(W178=1,#REF!,0)</f>
        <v>#REF!</v>
      </c>
      <c r="Y186" s="52" t="e">
        <f>IF(Y178=1,#REF!,0)</f>
        <v>#REF!</v>
      </c>
      <c r="Z186" s="48" t="e">
        <f>IF(Z178=1,#REF!,0)</f>
        <v>#REF!</v>
      </c>
      <c r="AB186" s="52" t="e">
        <f>IF(AB178=1,#REF!,0)</f>
        <v>#REF!</v>
      </c>
      <c r="AC186" s="48" t="e">
        <f>IF(AC178=1,#REF!,0)</f>
        <v>#REF!</v>
      </c>
      <c r="AE186" s="52" t="e">
        <f>IF(AE178=1,#REF!,0)</f>
        <v>#REF!</v>
      </c>
    </row>
    <row r="187" spans="1:33" s="48" customFormat="1" ht="12.75" hidden="1" customHeight="1" x14ac:dyDescent="0.25">
      <c r="A187" s="48" t="s">
        <v>71</v>
      </c>
      <c r="B187" s="48" t="e">
        <f>IF(B179=1,#REF!,0)</f>
        <v>#REF!</v>
      </c>
      <c r="D187" s="52" t="e">
        <f>IF(D179=1,#REF!,0)</f>
        <v>#REF!</v>
      </c>
      <c r="E187" s="48" t="e">
        <f>IF(E179=1,#REF!,0)</f>
        <v>#REF!</v>
      </c>
      <c r="G187" s="52" t="e">
        <f>IF(G179=1,#REF!,0)</f>
        <v>#REF!</v>
      </c>
      <c r="H187" s="48" t="e">
        <f>IF(H179=1,#REF!,0)</f>
        <v>#REF!</v>
      </c>
      <c r="J187" s="52" t="e">
        <f>IF(J179=1,#REF!,0)</f>
        <v>#REF!</v>
      </c>
      <c r="K187" s="48" t="e">
        <f>IF(K179=1,#REF!,0)</f>
        <v>#REF!</v>
      </c>
      <c r="M187" s="52" t="e">
        <f>IF(M179=1,#REF!,0)</f>
        <v>#REF!</v>
      </c>
      <c r="N187" s="48" t="e">
        <f>IF(N179=1,#REF!,0)</f>
        <v>#REF!</v>
      </c>
      <c r="P187" s="52" t="e">
        <f>IF(P179=1,#REF!,0)</f>
        <v>#REF!</v>
      </c>
      <c r="Q187" s="48" t="e">
        <f>IF(Q179=1,#REF!,0)</f>
        <v>#REF!</v>
      </c>
      <c r="S187" s="52" t="e">
        <f>IF(S179=1,#REF!,0)</f>
        <v>#REF!</v>
      </c>
      <c r="T187" s="48" t="e">
        <f>IF(T179=1,#REF!,0)</f>
        <v>#REF!</v>
      </c>
      <c r="V187" s="52" t="e">
        <f>IF(V179=1,#REF!,0)</f>
        <v>#REF!</v>
      </c>
      <c r="W187" s="48" t="e">
        <f>IF(W179=1,#REF!,0)</f>
        <v>#REF!</v>
      </c>
      <c r="Y187" s="52" t="e">
        <f>IF(Y179=1,#REF!,0)</f>
        <v>#REF!</v>
      </c>
      <c r="Z187" s="48" t="e">
        <f>IF(Z179=1,#REF!,0)</f>
        <v>#REF!</v>
      </c>
      <c r="AB187" s="52" t="e">
        <f>IF(AB179=1,#REF!,0)</f>
        <v>#REF!</v>
      </c>
      <c r="AC187" s="48" t="e">
        <f>IF(AC179=1,#REF!,0)</f>
        <v>#REF!</v>
      </c>
      <c r="AE187" s="52" t="e">
        <f>IF(AE179=1,#REF!,0)</f>
        <v>#REF!</v>
      </c>
    </row>
    <row r="188" spans="1:33" s="48" customFormat="1" ht="12.75" hidden="1" customHeight="1" x14ac:dyDescent="0.25">
      <c r="A188" s="48" t="s">
        <v>72</v>
      </c>
      <c r="B188" s="48" t="e">
        <f>IF(B180=1,#REF!,0)</f>
        <v>#REF!</v>
      </c>
      <c r="D188" s="52" t="e">
        <f>IF(D180=1,#REF!,0)</f>
        <v>#REF!</v>
      </c>
      <c r="E188" s="48" t="e">
        <f>IF(E180=1,#REF!,0)</f>
        <v>#REF!</v>
      </c>
      <c r="G188" s="52" t="e">
        <f>IF(G180=1,#REF!,0)</f>
        <v>#REF!</v>
      </c>
      <c r="H188" s="48" t="e">
        <f>IF(H180=1,#REF!,0)</f>
        <v>#REF!</v>
      </c>
      <c r="J188" s="52" t="e">
        <f>IF(J180=1,#REF!,0)</f>
        <v>#REF!</v>
      </c>
      <c r="K188" s="48" t="e">
        <f>IF(K180=1,#REF!,0)</f>
        <v>#REF!</v>
      </c>
      <c r="M188" s="52" t="e">
        <f>IF(M180=1,#REF!,0)</f>
        <v>#REF!</v>
      </c>
      <c r="N188" s="48" t="e">
        <f>IF(N180=1,#REF!,0)</f>
        <v>#REF!</v>
      </c>
      <c r="P188" s="52" t="e">
        <f>IF(P180=1,#REF!,0)</f>
        <v>#REF!</v>
      </c>
      <c r="Q188" s="48" t="e">
        <f>IF(Q180=1,#REF!,0)</f>
        <v>#REF!</v>
      </c>
      <c r="S188" s="52" t="e">
        <f>IF(S180=1,#REF!,0)</f>
        <v>#REF!</v>
      </c>
      <c r="T188" s="48" t="e">
        <f>IF(T180=1,#REF!,0)</f>
        <v>#REF!</v>
      </c>
      <c r="V188" s="52" t="e">
        <f>IF(V180=1,#REF!,0)</f>
        <v>#REF!</v>
      </c>
      <c r="W188" s="48" t="e">
        <f>IF(W180=1,#REF!,0)</f>
        <v>#REF!</v>
      </c>
      <c r="Y188" s="52" t="e">
        <f>IF(Y180=1,#REF!,0)</f>
        <v>#REF!</v>
      </c>
      <c r="Z188" s="48" t="e">
        <f>IF(Z180=1,#REF!,0)</f>
        <v>#REF!</v>
      </c>
      <c r="AB188" s="52" t="e">
        <f>IF(AB180=1,#REF!,0)</f>
        <v>#REF!</v>
      </c>
      <c r="AC188" s="48" t="e">
        <f>IF(AC180=1,#REF!,0)</f>
        <v>#REF!</v>
      </c>
      <c r="AE188" s="52" t="e">
        <f>IF(AE180=1,#REF!,0)</f>
        <v>#REF!</v>
      </c>
    </row>
    <row r="189" spans="1:33" s="48" customFormat="1" ht="38.25" hidden="1" customHeight="1" x14ac:dyDescent="0.25">
      <c r="A189" s="51" t="s">
        <v>73</v>
      </c>
      <c r="B189" s="48" t="e">
        <f>SUM(B184:D188)</f>
        <v>#REF!</v>
      </c>
      <c r="D189" s="52"/>
      <c r="E189" s="48" t="e">
        <f>SUM(E184:G188)</f>
        <v>#REF!</v>
      </c>
      <c r="G189" s="52"/>
      <c r="H189" s="48" t="e">
        <f>SUM(H184:J188)</f>
        <v>#REF!</v>
      </c>
      <c r="J189" s="52"/>
      <c r="K189" s="48" t="e">
        <f>SUM(K184:M188)</f>
        <v>#REF!</v>
      </c>
      <c r="M189" s="52"/>
      <c r="N189" s="48" t="e">
        <f>SUM(N184:P188)</f>
        <v>#REF!</v>
      </c>
      <c r="P189" s="52"/>
      <c r="Q189" s="48" t="e">
        <f>SUM(Q184:S188)</f>
        <v>#REF!</v>
      </c>
      <c r="S189" s="52"/>
      <c r="T189" s="48" t="e">
        <f>SUM(T184:V188)</f>
        <v>#REF!</v>
      </c>
      <c r="V189" s="52"/>
      <c r="W189" s="48" t="e">
        <f>SUM(W184:Y188)</f>
        <v>#REF!</v>
      </c>
      <c r="Y189" s="52"/>
      <c r="Z189" s="48" t="e">
        <f>SUM(Z184:AB188)</f>
        <v>#REF!</v>
      </c>
      <c r="AB189" s="52"/>
      <c r="AC189" s="48" t="e">
        <f>SUM(AC184:AE188)</f>
        <v>#REF!</v>
      </c>
      <c r="AE189" s="52"/>
    </row>
    <row r="190" spans="1:33" s="48" customFormat="1" ht="38.25" hidden="1" customHeight="1" x14ac:dyDescent="0.25">
      <c r="A190" s="48" t="s">
        <v>74</v>
      </c>
      <c r="D190" s="52"/>
      <c r="G190" s="52"/>
      <c r="J190" s="52"/>
      <c r="M190" s="52"/>
      <c r="P190" s="52"/>
      <c r="S190" s="52"/>
      <c r="V190" s="52"/>
      <c r="Y190" s="52"/>
      <c r="AB190" s="52"/>
      <c r="AE190" s="52"/>
      <c r="AF190" s="51" t="s">
        <v>75</v>
      </c>
      <c r="AG190" s="48" t="s">
        <v>76</v>
      </c>
    </row>
    <row r="191" spans="1:33" s="48" customFormat="1" ht="12.75" hidden="1" customHeight="1" x14ac:dyDescent="0.25">
      <c r="A191" s="48" t="s">
        <v>77</v>
      </c>
      <c r="B191" s="48" t="e">
        <f>IF(#REF!=1,IF(B182=1,1,0),0)</f>
        <v>#REF!</v>
      </c>
      <c r="D191" s="52" t="e">
        <f>IF(#REF!=1,IF(D182=1,1,0),0)</f>
        <v>#REF!</v>
      </c>
      <c r="E191" s="48" t="e">
        <f>IF(#REF!=1,IF(E182=1,1,0),0)</f>
        <v>#REF!</v>
      </c>
      <c r="G191" s="52" t="e">
        <f>IF(#REF!=1,IF(G182=1,1,0),0)</f>
        <v>#REF!</v>
      </c>
      <c r="H191" s="48" t="e">
        <f>IF(#REF!=1,IF(H182=1,1,0),0)</f>
        <v>#REF!</v>
      </c>
      <c r="J191" s="52" t="e">
        <f>IF(#REF!=1,IF(J182=1,1,0),0)</f>
        <v>#REF!</v>
      </c>
      <c r="K191" s="48" t="e">
        <f>IF(#REF!=1,IF(K182=1,1,0),0)</f>
        <v>#REF!</v>
      </c>
      <c r="M191" s="52" t="e">
        <f>IF(#REF!=1,IF(M182=1,1,0),0)</f>
        <v>#REF!</v>
      </c>
      <c r="N191" s="48" t="e">
        <f>IF(#REF!=1,IF(N182=1,1,0),0)</f>
        <v>#REF!</v>
      </c>
      <c r="P191" s="52" t="e">
        <f>IF(#REF!=1,IF(P182=1,1,0),0)</f>
        <v>#REF!</v>
      </c>
      <c r="Q191" s="48" t="e">
        <f>IF(#REF!=1,IF(Q182=1,1,0),0)</f>
        <v>#REF!</v>
      </c>
      <c r="S191" s="52" t="e">
        <f>IF(#REF!=1,IF(S182=1,1,0),0)</f>
        <v>#REF!</v>
      </c>
      <c r="T191" s="48" t="e">
        <f>IF(#REF!=1,IF(T182=1,1,0),0)</f>
        <v>#REF!</v>
      </c>
      <c r="V191" s="52" t="e">
        <f>IF(#REF!=1,IF(V182=1,1,0),0)</f>
        <v>#REF!</v>
      </c>
      <c r="W191" s="48" t="e">
        <f>IF(#REF!=1,IF(W182=1,1,0),0)</f>
        <v>#REF!</v>
      </c>
      <c r="Y191" s="52" t="e">
        <f>IF(#REF!=1,IF(Y182=1,1,0),0)</f>
        <v>#REF!</v>
      </c>
      <c r="Z191" s="48" t="e">
        <f>IF(#REF!=1,IF(Z182=1,1,0),0)</f>
        <v>#REF!</v>
      </c>
      <c r="AB191" s="52" t="e">
        <f>IF(#REF!=1,IF(AB182=1,1,0),0)</f>
        <v>#REF!</v>
      </c>
      <c r="AC191" s="48" t="e">
        <f>IF(#REF!=1,IF(AC182=1,1,0),0)</f>
        <v>#REF!</v>
      </c>
      <c r="AE191" s="52" t="e">
        <f>IF(#REF!=1,IF(AE182=1,1,0),0)</f>
        <v>#REF!</v>
      </c>
      <c r="AF191" s="48" t="e">
        <f>SUM(B191:AE191)</f>
        <v>#REF!</v>
      </c>
      <c r="AG191" s="48" t="e">
        <f>AF197-AF191</f>
        <v>#REF!</v>
      </c>
    </row>
    <row r="192" spans="1:33" s="48" customFormat="1" ht="12.75" hidden="1" customHeight="1" x14ac:dyDescent="0.25">
      <c r="A192" s="48" t="s">
        <v>78</v>
      </c>
      <c r="B192" s="48" t="e">
        <f>IF(#REF!=2,IF(B182=1,1,0),0)</f>
        <v>#REF!</v>
      </c>
      <c r="D192" s="52" t="e">
        <f>IF(#REF!=2,IF(D182=1,1,0),0)</f>
        <v>#REF!</v>
      </c>
      <c r="E192" s="48" t="e">
        <f>IF(#REF!=2,IF(E182=1,1,0),0)</f>
        <v>#REF!</v>
      </c>
      <c r="G192" s="52" t="e">
        <f>IF(#REF!=2,IF(G182=1,1,0),0)</f>
        <v>#REF!</v>
      </c>
      <c r="H192" s="48" t="e">
        <f>IF(#REF!=2,IF(H182=1,1,0),0)</f>
        <v>#REF!</v>
      </c>
      <c r="J192" s="52" t="e">
        <f>IF(#REF!=2,IF(J182=1,1,0),0)</f>
        <v>#REF!</v>
      </c>
      <c r="K192" s="48" t="e">
        <f>IF(#REF!=2,IF(K182=1,1,0),0)</f>
        <v>#REF!</v>
      </c>
      <c r="M192" s="52" t="e">
        <f>IF(#REF!=2,IF(M182=1,1,0),0)</f>
        <v>#REF!</v>
      </c>
      <c r="N192" s="48" t="e">
        <f>IF(#REF!=2,IF(N182=1,1,0),0)</f>
        <v>#REF!</v>
      </c>
      <c r="P192" s="52" t="e">
        <f>IF(#REF!=2,IF(P182=1,1,0),0)</f>
        <v>#REF!</v>
      </c>
      <c r="Q192" s="48" t="e">
        <f>IF(#REF!=2,IF(Q182=1,1,0),0)</f>
        <v>#REF!</v>
      </c>
      <c r="S192" s="52" t="e">
        <f>IF(#REF!=2,IF(S182=1,1,0),0)</f>
        <v>#REF!</v>
      </c>
      <c r="T192" s="48" t="e">
        <f>IF(#REF!=2,IF(T182=1,1,0),0)</f>
        <v>#REF!</v>
      </c>
      <c r="V192" s="52" t="e">
        <f>IF(#REF!=2,IF(V182=1,1,0),0)</f>
        <v>#REF!</v>
      </c>
      <c r="W192" s="48" t="e">
        <f>IF(#REF!=2,IF(W182=1,1,0),0)</f>
        <v>#REF!</v>
      </c>
      <c r="Y192" s="52" t="e">
        <f>IF(#REF!=2,IF(Y182=1,1,0),0)</f>
        <v>#REF!</v>
      </c>
      <c r="Z192" s="48" t="e">
        <f>IF(#REF!=2,IF(Z182=1,1,0),0)</f>
        <v>#REF!</v>
      </c>
      <c r="AB192" s="52" t="e">
        <f>IF(#REF!=2,IF(AB182=1,1,0),0)</f>
        <v>#REF!</v>
      </c>
      <c r="AC192" s="48" t="e">
        <f>IF(#REF!=2,IF(AC182=1,1,0),0)</f>
        <v>#REF!</v>
      </c>
      <c r="AE192" s="52" t="e">
        <f>IF(#REF!=2,IF(AE182=1,1,0),0)</f>
        <v>#REF!</v>
      </c>
      <c r="AF192" s="48" t="e">
        <f>SUM(B192:AE192)</f>
        <v>#REF!</v>
      </c>
      <c r="AG192" s="48" t="e">
        <f>AF198-AF192</f>
        <v>#REF!</v>
      </c>
    </row>
    <row r="193" spans="1:37" s="48" customFormat="1" ht="12.75" hidden="1" customHeight="1" x14ac:dyDescent="0.25">
      <c r="A193" s="48" t="s">
        <v>79</v>
      </c>
      <c r="B193" s="48" t="e">
        <f>IF(#REF!=3,IF(B182=1,1,0),0)</f>
        <v>#REF!</v>
      </c>
      <c r="D193" s="52" t="e">
        <f>IF(#REF!=3,IF(D182=1,1,0),0)</f>
        <v>#REF!</v>
      </c>
      <c r="E193" s="48" t="e">
        <f>IF(#REF!=3,IF(E182=1,1,0),0)</f>
        <v>#REF!</v>
      </c>
      <c r="G193" s="52" t="e">
        <f>IF(#REF!=3,IF(G182=1,1,0),0)</f>
        <v>#REF!</v>
      </c>
      <c r="H193" s="48" t="e">
        <f>IF(#REF!=3,IF(H182=1,1,0),0)</f>
        <v>#REF!</v>
      </c>
      <c r="J193" s="52" t="e">
        <f>IF(#REF!=3,IF(J182=1,1,0),0)</f>
        <v>#REF!</v>
      </c>
      <c r="K193" s="48" t="e">
        <f>IF(#REF!=3,IF(K182=1,1,0),0)</f>
        <v>#REF!</v>
      </c>
      <c r="M193" s="52" t="e">
        <f>IF(#REF!=3,IF(M182=1,1,0),0)</f>
        <v>#REF!</v>
      </c>
      <c r="N193" s="48" t="e">
        <f>IF(#REF!=3,IF(N182=1,1,0),0)</f>
        <v>#REF!</v>
      </c>
      <c r="P193" s="52" t="e">
        <f>IF(#REF!=3,IF(P182=1,1,0),0)</f>
        <v>#REF!</v>
      </c>
      <c r="Q193" s="48" t="e">
        <f>IF(#REF!=3,IF(Q182=1,1,0),0)</f>
        <v>#REF!</v>
      </c>
      <c r="S193" s="52" t="e">
        <f>IF(#REF!=3,IF(S182=1,1,0),0)</f>
        <v>#REF!</v>
      </c>
      <c r="T193" s="48" t="e">
        <f>IF(#REF!=3,IF(T182=1,1,0),0)</f>
        <v>#REF!</v>
      </c>
      <c r="V193" s="52" t="e">
        <f>IF(#REF!=3,IF(V182=1,1,0),0)</f>
        <v>#REF!</v>
      </c>
      <c r="W193" s="48" t="e">
        <f>IF(#REF!=3,IF(W182=1,1,0),0)</f>
        <v>#REF!</v>
      </c>
      <c r="Y193" s="52" t="e">
        <f>IF(#REF!=3,IF(Y182=1,1,0),0)</f>
        <v>#REF!</v>
      </c>
      <c r="Z193" s="48" t="e">
        <f>IF(#REF!=3,IF(Z182=1,1,0),0)</f>
        <v>#REF!</v>
      </c>
      <c r="AB193" s="52" t="e">
        <f>IF(#REF!=3,IF(AB182=1,1,0),0)</f>
        <v>#REF!</v>
      </c>
      <c r="AC193" s="48" t="e">
        <f>IF(#REF!=3,IF(AC182=1,1,0),0)</f>
        <v>#REF!</v>
      </c>
      <c r="AE193" s="52" t="e">
        <f>IF(#REF!=3,IF(AE182=1,1,0),0)</f>
        <v>#REF!</v>
      </c>
      <c r="AF193" s="48" t="e">
        <f>SUM(B193:AE193)</f>
        <v>#REF!</v>
      </c>
      <c r="AG193" s="48" t="e">
        <f>AF199-AF193</f>
        <v>#REF!</v>
      </c>
    </row>
    <row r="194" spans="1:37" s="48" customFormat="1" ht="12.75" hidden="1" customHeight="1" x14ac:dyDescent="0.25">
      <c r="A194" s="48" t="s">
        <v>80</v>
      </c>
      <c r="B194" s="48" t="e">
        <f>IF(#REF!=4,IF(B182=1,1,0),0)</f>
        <v>#REF!</v>
      </c>
      <c r="D194" s="52" t="e">
        <f>IF(#REF!=4,IF(D182=1,1,0),0)</f>
        <v>#REF!</v>
      </c>
      <c r="E194" s="48" t="e">
        <f>IF(#REF!=4,IF(E182=1,1,0),0)</f>
        <v>#REF!</v>
      </c>
      <c r="G194" s="52" t="e">
        <f>IF(#REF!=4,IF(G182=1,1,0),0)</f>
        <v>#REF!</v>
      </c>
      <c r="H194" s="48" t="e">
        <f>IF(#REF!=4,IF(H182=1,1,0),0)</f>
        <v>#REF!</v>
      </c>
      <c r="J194" s="52" t="e">
        <f>IF(#REF!=4,IF(J182=1,1,0),0)</f>
        <v>#REF!</v>
      </c>
      <c r="K194" s="48" t="e">
        <f>IF(#REF!=4,IF(K182=1,1,0),0)</f>
        <v>#REF!</v>
      </c>
      <c r="M194" s="52" t="e">
        <f>IF(#REF!=4,IF(M182=1,1,0),0)</f>
        <v>#REF!</v>
      </c>
      <c r="N194" s="48" t="e">
        <f>IF(#REF!=4,IF(N182=1,1,0),0)</f>
        <v>#REF!</v>
      </c>
      <c r="P194" s="52" t="e">
        <f>IF(#REF!=4,IF(P182=1,1,0),0)</f>
        <v>#REF!</v>
      </c>
      <c r="Q194" s="48" t="e">
        <f>IF(#REF!=4,IF(Q182=1,1,0),0)</f>
        <v>#REF!</v>
      </c>
      <c r="S194" s="52" t="e">
        <f>IF(#REF!=4,IF(S182=1,1,0),0)</f>
        <v>#REF!</v>
      </c>
      <c r="T194" s="48" t="e">
        <f>IF(#REF!=4,IF(T182=1,1,0),0)</f>
        <v>#REF!</v>
      </c>
      <c r="V194" s="52" t="e">
        <f>IF(#REF!=4,IF(V182=1,1,0),0)</f>
        <v>#REF!</v>
      </c>
      <c r="W194" s="48" t="e">
        <f>IF(#REF!=4,IF(W182=1,1,0),0)</f>
        <v>#REF!</v>
      </c>
      <c r="Y194" s="52" t="e">
        <f>IF(#REF!=4,IF(Y182=1,1,0),0)</f>
        <v>#REF!</v>
      </c>
      <c r="Z194" s="48" t="e">
        <f>IF(#REF!=4,IF(Z182=1,1,0),0)</f>
        <v>#REF!</v>
      </c>
      <c r="AB194" s="52" t="e">
        <f>IF(#REF!=4,IF(AB182=1,1,0),0)</f>
        <v>#REF!</v>
      </c>
      <c r="AC194" s="48" t="e">
        <f>IF(#REF!=4,IF(AC182=1,1,0),0)</f>
        <v>#REF!</v>
      </c>
      <c r="AE194" s="52" t="e">
        <f>IF(#REF!=4,IF(AE182=1,1,0),0)</f>
        <v>#REF!</v>
      </c>
      <c r="AF194" s="48" t="e">
        <f>SUM(B194:AE194)</f>
        <v>#REF!</v>
      </c>
      <c r="AG194" s="48" t="e">
        <f>AF200-AF194</f>
        <v>#REF!</v>
      </c>
    </row>
    <row r="195" spans="1:37" s="48" customFormat="1" ht="12.75" hidden="1" customHeight="1" x14ac:dyDescent="0.25">
      <c r="A195" s="48" t="s">
        <v>81</v>
      </c>
      <c r="B195" s="48" t="e">
        <f>IF(#REF!=5,IF(B182=1,1,0),0)</f>
        <v>#REF!</v>
      </c>
      <c r="D195" s="52" t="e">
        <f>IF(#REF!=5,IF(D182=1,1,0),0)</f>
        <v>#REF!</v>
      </c>
      <c r="E195" s="48" t="e">
        <f>IF(#REF!=5,IF(E182=1,1,0),0)</f>
        <v>#REF!</v>
      </c>
      <c r="G195" s="52" t="e">
        <f>IF(#REF!=5,IF(G182=1,1,0),0)</f>
        <v>#REF!</v>
      </c>
      <c r="H195" s="48" t="e">
        <f>IF(#REF!=5,IF(H182=1,1,0),0)</f>
        <v>#REF!</v>
      </c>
      <c r="J195" s="52" t="e">
        <f>IF(#REF!=5,IF(J182=1,1,0),0)</f>
        <v>#REF!</v>
      </c>
      <c r="K195" s="48" t="e">
        <f>IF(#REF!=5,IF(K182=1,1,0),0)</f>
        <v>#REF!</v>
      </c>
      <c r="M195" s="52" t="e">
        <f>IF(#REF!=5,IF(M182=1,1,0),0)</f>
        <v>#REF!</v>
      </c>
      <c r="N195" s="48" t="e">
        <f>IF(#REF!=5,IF(N182=1,1,0),0)</f>
        <v>#REF!</v>
      </c>
      <c r="P195" s="52" t="e">
        <f>IF(#REF!=5,IF(P182=1,1,0),0)</f>
        <v>#REF!</v>
      </c>
      <c r="Q195" s="48" t="e">
        <f>IF(#REF!=5,IF(Q182=1,1,0),0)</f>
        <v>#REF!</v>
      </c>
      <c r="S195" s="52" t="e">
        <f>IF(#REF!=5,IF(S182=1,1,0),0)</f>
        <v>#REF!</v>
      </c>
      <c r="T195" s="48" t="e">
        <f>IF(#REF!=5,IF(T182=1,1,0),0)</f>
        <v>#REF!</v>
      </c>
      <c r="V195" s="52" t="e">
        <f>IF(#REF!=5,IF(V182=1,1,0),0)</f>
        <v>#REF!</v>
      </c>
      <c r="W195" s="48" t="e">
        <f>IF(#REF!=5,IF(W182=1,1,0),0)</f>
        <v>#REF!</v>
      </c>
      <c r="Y195" s="52" t="e">
        <f>IF(#REF!=5,IF(Y182=1,1,0),0)</f>
        <v>#REF!</v>
      </c>
      <c r="Z195" s="48" t="e">
        <f>IF(#REF!=5,IF(Z182=1,1,0),0)</f>
        <v>#REF!</v>
      </c>
      <c r="AB195" s="52" t="e">
        <f>IF(#REF!=5,IF(AB182=1,1,0),0)</f>
        <v>#REF!</v>
      </c>
      <c r="AC195" s="48" t="e">
        <f>IF(#REF!=5,IF(AC182=1,1,0),0)</f>
        <v>#REF!</v>
      </c>
      <c r="AE195" s="52" t="e">
        <f>IF(#REF!=5,IF(AE182=1,1,0),0)</f>
        <v>#REF!</v>
      </c>
      <c r="AF195" s="48" t="e">
        <f>SUM(B195:AE195)</f>
        <v>#REF!</v>
      </c>
      <c r="AG195" s="48" t="e">
        <f>AF201-AF195</f>
        <v>#REF!</v>
      </c>
    </row>
    <row r="196" spans="1:37" s="48" customFormat="1" ht="38.25" hidden="1" customHeight="1" x14ac:dyDescent="0.25">
      <c r="A196" s="51"/>
      <c r="D196" s="52"/>
      <c r="G196" s="52"/>
      <c r="J196" s="52"/>
      <c r="M196" s="52"/>
      <c r="P196" s="52"/>
      <c r="S196" s="52"/>
      <c r="V196" s="52"/>
      <c r="Y196" s="52"/>
      <c r="AB196" s="52"/>
      <c r="AE196" s="52"/>
      <c r="AF196" s="51" t="s">
        <v>82</v>
      </c>
    </row>
    <row r="197" spans="1:37" s="48" customFormat="1" ht="12.75" hidden="1" customHeight="1" x14ac:dyDescent="0.25">
      <c r="A197" s="48" t="s">
        <v>83</v>
      </c>
      <c r="B197" s="48" t="e">
        <f>IF(#REF!=1,IF(C182=1,1,0),0)</f>
        <v>#REF!</v>
      </c>
      <c r="D197" s="52" t="e">
        <f>IF(#REF!=1,IF(C182=1,1,0),0)</f>
        <v>#REF!</v>
      </c>
      <c r="E197" s="48" t="e">
        <f>IF(#REF!=1,IF(F182=1,1,0),0)</f>
        <v>#REF!</v>
      </c>
      <c r="G197" s="52" t="e">
        <f>IF(#REF!=1,IF(F182=1,1,0),0)</f>
        <v>#REF!</v>
      </c>
      <c r="H197" s="48" t="e">
        <f>IF(#REF!=1,IF(I182=1,1,0),0)</f>
        <v>#REF!</v>
      </c>
      <c r="J197" s="52" t="e">
        <f>IF(#REF!=1,IF(I182=1,1,0),0)</f>
        <v>#REF!</v>
      </c>
      <c r="K197" s="48" t="e">
        <f>IF(#REF!=1,IF(L182=1,1,0),0)</f>
        <v>#REF!</v>
      </c>
      <c r="M197" s="52" t="e">
        <f>IF(#REF!=1,IF(L182=1,1,0),0)</f>
        <v>#REF!</v>
      </c>
      <c r="N197" s="48" t="e">
        <f>IF(#REF!=1,IF(O182=1,1,0),0)</f>
        <v>#REF!</v>
      </c>
      <c r="P197" s="52" t="e">
        <f>IF(#REF!=1,IF(O182=1,1,0),0)</f>
        <v>#REF!</v>
      </c>
      <c r="Q197" s="48" t="e">
        <f>IF(#REF!=1,IF(R182=1,1,0),0)</f>
        <v>#REF!</v>
      </c>
      <c r="S197" s="52" t="e">
        <f>IF(#REF!=1,IF(R182=1,1,0),0)</f>
        <v>#REF!</v>
      </c>
      <c r="T197" s="48" t="e">
        <f>IF(#REF!=1,IF(U182=1,1,0),0)</f>
        <v>#REF!</v>
      </c>
      <c r="V197" s="52" t="e">
        <f>IF(#REF!=1,IF(U182=1,1,0),0)</f>
        <v>#REF!</v>
      </c>
      <c r="W197" s="48" t="e">
        <f>IF(#REF!=1,IF(X182=1,1,0),0)</f>
        <v>#REF!</v>
      </c>
      <c r="Y197" s="52" t="e">
        <f>IF(#REF!=1,IF(X182=1,1,0),0)</f>
        <v>#REF!</v>
      </c>
      <c r="Z197" s="48" t="e">
        <f>IF(#REF!=1,IF(AA182=1,1,0),0)</f>
        <v>#REF!</v>
      </c>
      <c r="AB197" s="52" t="e">
        <f>IF(#REF!=1,IF(AA182=1,1,0),0)</f>
        <v>#REF!</v>
      </c>
      <c r="AC197" s="48" t="e">
        <f>IF(#REF!=1,IF(AD182=1,1,0),0)</f>
        <v>#REF!</v>
      </c>
      <c r="AE197" s="52" t="e">
        <f>IF(#REF!=1,IF(AD182=1,1,0),0)</f>
        <v>#REF!</v>
      </c>
      <c r="AF197" s="48" t="e">
        <f>SUM(B197:AE197)</f>
        <v>#REF!</v>
      </c>
    </row>
    <row r="198" spans="1:37" s="48" customFormat="1" ht="12.75" hidden="1" customHeight="1" x14ac:dyDescent="0.25">
      <c r="A198" s="48" t="s">
        <v>84</v>
      </c>
      <c r="B198" s="48" t="e">
        <f>IF(#REF!=2,IF(C182=1,1,0),0)</f>
        <v>#REF!</v>
      </c>
      <c r="D198" s="52" t="e">
        <f>IF(#REF!=2,IF(C182=1,1,0),0)</f>
        <v>#REF!</v>
      </c>
      <c r="E198" s="48" t="e">
        <f>IF(#REF!=2,IF(F182=1,1,0),0)</f>
        <v>#REF!</v>
      </c>
      <c r="G198" s="52" t="e">
        <f>IF(#REF!=2,IF(F182=1,1,0),0)</f>
        <v>#REF!</v>
      </c>
      <c r="H198" s="48" t="e">
        <f>IF(#REF!=2,IF(I182=1,1,0),0)</f>
        <v>#REF!</v>
      </c>
      <c r="J198" s="52" t="e">
        <f>IF(#REF!=2,IF(I182=1,1,0),0)</f>
        <v>#REF!</v>
      </c>
      <c r="K198" s="48" t="e">
        <f>IF(#REF!=2,IF(L182=1,1,0),0)</f>
        <v>#REF!</v>
      </c>
      <c r="M198" s="52" t="e">
        <f>IF(#REF!=2,IF(L182=1,1,0),0)</f>
        <v>#REF!</v>
      </c>
      <c r="N198" s="48" t="e">
        <f>IF(#REF!=2,IF(O182=1,1,0),0)</f>
        <v>#REF!</v>
      </c>
      <c r="P198" s="52" t="e">
        <f>IF(#REF!=2,IF(O182=1,1,0),0)</f>
        <v>#REF!</v>
      </c>
      <c r="Q198" s="48" t="e">
        <f>IF(#REF!=2,IF(R182=1,1,0),0)</f>
        <v>#REF!</v>
      </c>
      <c r="S198" s="52" t="e">
        <f>IF(#REF!=2,IF(R182=1,1,0),0)</f>
        <v>#REF!</v>
      </c>
      <c r="T198" s="48" t="e">
        <f>IF(#REF!=2,IF(U182=1,1,0),0)</f>
        <v>#REF!</v>
      </c>
      <c r="V198" s="52" t="e">
        <f>IF(#REF!=2,IF(U182=1,1,0),0)</f>
        <v>#REF!</v>
      </c>
      <c r="W198" s="48" t="e">
        <f>IF(#REF!=2,IF(X182=1,1,0),0)</f>
        <v>#REF!</v>
      </c>
      <c r="Y198" s="52" t="e">
        <f>IF(#REF!=2,IF(X182=1,1,0),0)</f>
        <v>#REF!</v>
      </c>
      <c r="Z198" s="48" t="e">
        <f>IF(#REF!=2,IF(AA182=1,1,0),0)</f>
        <v>#REF!</v>
      </c>
      <c r="AB198" s="52" t="e">
        <f>IF(#REF!=2,IF(AA182=1,1,0),0)</f>
        <v>#REF!</v>
      </c>
      <c r="AC198" s="48" t="e">
        <f>IF(#REF!=2,IF(AD182=1,1,0),0)</f>
        <v>#REF!</v>
      </c>
      <c r="AE198" s="52" t="e">
        <f>IF(#REF!=2,IF(AD182=1,1,0),0)</f>
        <v>#REF!</v>
      </c>
      <c r="AF198" s="48" t="e">
        <f>SUM(B198:AE198)</f>
        <v>#REF!</v>
      </c>
    </row>
    <row r="199" spans="1:37" s="48" customFormat="1" ht="12.75" hidden="1" customHeight="1" x14ac:dyDescent="0.25">
      <c r="A199" s="48" t="s">
        <v>85</v>
      </c>
      <c r="B199" s="48" t="e">
        <f>IF(#REF!=3,IF(C182=1,1,0),0)</f>
        <v>#REF!</v>
      </c>
      <c r="D199" s="52" t="e">
        <f>IF(#REF!=3,IF(C182=1,1,0),0)</f>
        <v>#REF!</v>
      </c>
      <c r="E199" s="48" t="e">
        <f>IF(#REF!=3,IF(F182=1,1,0),0)</f>
        <v>#REF!</v>
      </c>
      <c r="G199" s="52" t="e">
        <f>IF(#REF!=3,IF(F182=1,1,0),0)</f>
        <v>#REF!</v>
      </c>
      <c r="H199" s="48" t="e">
        <f>IF(#REF!=3,IF(I182=1,1,0),0)</f>
        <v>#REF!</v>
      </c>
      <c r="J199" s="52" t="e">
        <f>IF(#REF!=3,IF(I182=1,1,0),0)</f>
        <v>#REF!</v>
      </c>
      <c r="K199" s="48" t="e">
        <f>IF(#REF!=3,IF(L182=1,1,0),0)</f>
        <v>#REF!</v>
      </c>
      <c r="M199" s="52" t="e">
        <f>IF(#REF!=3,IF(L182=1,1,0),0)</f>
        <v>#REF!</v>
      </c>
      <c r="N199" s="48" t="e">
        <f>IF(#REF!=3,IF(O182=1,1,0),0)</f>
        <v>#REF!</v>
      </c>
      <c r="P199" s="52" t="e">
        <f>IF(#REF!=3,IF(O182=1,1,0),0)</f>
        <v>#REF!</v>
      </c>
      <c r="Q199" s="48" t="e">
        <f>IF(#REF!=3,IF(R182=1,1,0),0)</f>
        <v>#REF!</v>
      </c>
      <c r="S199" s="52" t="e">
        <f>IF(#REF!=3,IF(R182=1,1,0),0)</f>
        <v>#REF!</v>
      </c>
      <c r="T199" s="48" t="e">
        <f>IF(#REF!=3,IF(U182=1,1,0),0)</f>
        <v>#REF!</v>
      </c>
      <c r="V199" s="52" t="e">
        <f>IF(#REF!=3,IF(U182=1,1,0),0)</f>
        <v>#REF!</v>
      </c>
      <c r="W199" s="48" t="e">
        <f>IF(#REF!=3,IF(X182=1,1,0),0)</f>
        <v>#REF!</v>
      </c>
      <c r="Y199" s="52" t="e">
        <f>IF(#REF!=3,IF(X182=1,1,0),0)</f>
        <v>#REF!</v>
      </c>
      <c r="Z199" s="48" t="e">
        <f>IF(#REF!=3,IF(AA182=1,1,0),0)</f>
        <v>#REF!</v>
      </c>
      <c r="AB199" s="52" t="e">
        <f>IF(#REF!=3,IF(AA182=1,1,0),0)</f>
        <v>#REF!</v>
      </c>
      <c r="AC199" s="48" t="e">
        <f>IF(#REF!=3,IF(AD182=1,1,0),0)</f>
        <v>#REF!</v>
      </c>
      <c r="AE199" s="52" t="e">
        <f>IF(#REF!=3,IF(AD182=1,1,0),0)</f>
        <v>#REF!</v>
      </c>
      <c r="AF199" s="48" t="e">
        <f>SUM(B199:AE199)</f>
        <v>#REF!</v>
      </c>
    </row>
    <row r="200" spans="1:37" s="48" customFormat="1" ht="12.75" hidden="1" customHeight="1" x14ac:dyDescent="0.25">
      <c r="A200" s="48" t="s">
        <v>86</v>
      </c>
      <c r="B200" s="48" t="e">
        <f>IF(#REF!=4,IF(C182=1,1,0),0)</f>
        <v>#REF!</v>
      </c>
      <c r="D200" s="52" t="e">
        <f>IF(#REF!=4,IF(C182=1,1,0),0)</f>
        <v>#REF!</v>
      </c>
      <c r="E200" s="48" t="e">
        <f>IF(#REF!=4,IF(F182=1,1,0),0)</f>
        <v>#REF!</v>
      </c>
      <c r="G200" s="52" t="e">
        <f>IF(#REF!=4,IF(F182=1,1,0),0)</f>
        <v>#REF!</v>
      </c>
      <c r="H200" s="48" t="e">
        <f>IF(#REF!=4,IF(I182=1,1,0),0)</f>
        <v>#REF!</v>
      </c>
      <c r="J200" s="52" t="e">
        <f>IF(#REF!=4,IF(I182=1,1,0),0)</f>
        <v>#REF!</v>
      </c>
      <c r="K200" s="48" t="e">
        <f>IF(#REF!=4,IF(L182=1,1,0),0)</f>
        <v>#REF!</v>
      </c>
      <c r="M200" s="52" t="e">
        <f>IF(#REF!=4,IF(L182=1,1,0),0)</f>
        <v>#REF!</v>
      </c>
      <c r="N200" s="48" t="e">
        <f>IF(#REF!=4,IF(O182=1,1,0),0)</f>
        <v>#REF!</v>
      </c>
      <c r="P200" s="52" t="e">
        <f>IF(#REF!=4,IF(O182=1,1,0),0)</f>
        <v>#REF!</v>
      </c>
      <c r="Q200" s="48" t="e">
        <f>IF(#REF!=4,IF(R182=1,1,0),0)</f>
        <v>#REF!</v>
      </c>
      <c r="S200" s="52" t="e">
        <f>IF(#REF!=4,IF(R182=1,1,0),0)</f>
        <v>#REF!</v>
      </c>
      <c r="T200" s="48" t="e">
        <f>IF(#REF!=4,IF(U182=1,1,0),0)</f>
        <v>#REF!</v>
      </c>
      <c r="V200" s="52" t="e">
        <f>IF(#REF!=4,IF(U182=1,1,0),0)</f>
        <v>#REF!</v>
      </c>
      <c r="W200" s="48" t="e">
        <f>IF(#REF!=4,IF(X182=1,1,0),0)</f>
        <v>#REF!</v>
      </c>
      <c r="Y200" s="52" t="e">
        <f>IF(#REF!=4,IF(X182=1,1,0),0)</f>
        <v>#REF!</v>
      </c>
      <c r="Z200" s="48" t="e">
        <f>IF(#REF!=4,IF(AA182=1,1,0),0)</f>
        <v>#REF!</v>
      </c>
      <c r="AB200" s="52" t="e">
        <f>IF(#REF!=4,IF(AA182=1,1,0),0)</f>
        <v>#REF!</v>
      </c>
      <c r="AC200" s="48" t="e">
        <f>IF(#REF!=4,IF(AD182=1,1,0),0)</f>
        <v>#REF!</v>
      </c>
      <c r="AE200" s="52" t="e">
        <f>IF(#REF!=4,IF(AD182=1,1,0),0)</f>
        <v>#REF!</v>
      </c>
      <c r="AF200" s="48" t="e">
        <f>SUM(B200:AE200)</f>
        <v>#REF!</v>
      </c>
    </row>
    <row r="201" spans="1:37" s="48" customFormat="1" ht="12.75" hidden="1" customHeight="1" x14ac:dyDescent="0.25">
      <c r="A201" s="48" t="s">
        <v>87</v>
      </c>
      <c r="B201" s="48" t="e">
        <f>IF(#REF!=5,IF(C182=1,1,0),0)</f>
        <v>#REF!</v>
      </c>
      <c r="D201" s="52" t="e">
        <f>IF(#REF!=5,IF(C182=1,1,0),0)</f>
        <v>#REF!</v>
      </c>
      <c r="E201" s="48" t="e">
        <f>IF(#REF!=5,IF(F182=1,1,0),0)</f>
        <v>#REF!</v>
      </c>
      <c r="G201" s="52" t="e">
        <f>IF(#REF!=5,IF(F182=1,1,0),0)</f>
        <v>#REF!</v>
      </c>
      <c r="H201" s="48" t="e">
        <f>IF(#REF!=5,IF(I182=1,1,0),0)</f>
        <v>#REF!</v>
      </c>
      <c r="J201" s="52" t="e">
        <f>IF(#REF!=5,IF(I182=1,1,0),0)</f>
        <v>#REF!</v>
      </c>
      <c r="K201" s="48" t="e">
        <f>IF(#REF!=5,IF(L182=1,1,0),0)</f>
        <v>#REF!</v>
      </c>
      <c r="M201" s="52" t="e">
        <f>IF(#REF!=5,IF(L182=1,1,0),0)</f>
        <v>#REF!</v>
      </c>
      <c r="N201" s="48" t="e">
        <f>IF(#REF!=5,IF(O182=1,1,0),0)</f>
        <v>#REF!</v>
      </c>
      <c r="P201" s="52" t="e">
        <f>IF(#REF!=5,IF(O182=1,1,0),0)</f>
        <v>#REF!</v>
      </c>
      <c r="Q201" s="48" t="e">
        <f>IF(#REF!=5,IF(R182=1,1,0),0)</f>
        <v>#REF!</v>
      </c>
      <c r="S201" s="52" t="e">
        <f>IF(#REF!=5,IF(R182=1,1,0),0)</f>
        <v>#REF!</v>
      </c>
      <c r="T201" s="48" t="e">
        <f>IF(#REF!=5,IF(U182=1,1,0),0)</f>
        <v>#REF!</v>
      </c>
      <c r="V201" s="52" t="e">
        <f>IF(#REF!=5,IF(U182=1,1,0),0)</f>
        <v>#REF!</v>
      </c>
      <c r="W201" s="48" t="e">
        <f>IF(#REF!=5,IF(X182=1,1,0),0)</f>
        <v>#REF!</v>
      </c>
      <c r="Y201" s="52" t="e">
        <f>IF(#REF!=5,IF(X182=1,1,0),0)</f>
        <v>#REF!</v>
      </c>
      <c r="Z201" s="48" t="e">
        <f>IF(#REF!=5,IF(AA182=1,1,0),0)</f>
        <v>#REF!</v>
      </c>
      <c r="AB201" s="52" t="e">
        <f>IF(#REF!=5,IF(AA182=1,1,0),0)</f>
        <v>#REF!</v>
      </c>
      <c r="AC201" s="48" t="e">
        <f>IF(#REF!=5,IF(AD182=1,1,0),0)</f>
        <v>#REF!</v>
      </c>
      <c r="AE201" s="52" t="e">
        <f>IF(#REF!=5,IF(AD182=1,1,0),0)</f>
        <v>#REF!</v>
      </c>
      <c r="AF201" s="48" t="e">
        <f>SUM(B201:AE201)</f>
        <v>#REF!</v>
      </c>
    </row>
    <row r="202" spans="1:37" s="48" customFormat="1" ht="38.25" hidden="1" customHeight="1" x14ac:dyDescent="0.25">
      <c r="A202" s="51"/>
      <c r="D202" s="52"/>
      <c r="G202" s="52"/>
      <c r="J202" s="52"/>
      <c r="M202" s="52"/>
      <c r="P202" s="52"/>
      <c r="S202" s="52"/>
      <c r="V202" s="52"/>
      <c r="Y202" s="52"/>
      <c r="AB202" s="52"/>
      <c r="AE202" s="52"/>
      <c r="AF202" s="51" t="s">
        <v>88</v>
      </c>
      <c r="AG202" s="150"/>
      <c r="AH202" s="150"/>
      <c r="AI202" s="150"/>
      <c r="AJ202" s="150"/>
      <c r="AK202" s="150"/>
    </row>
    <row r="203" spans="1:37" s="48" customFormat="1" ht="12.75" hidden="1" customHeight="1" x14ac:dyDescent="0.25">
      <c r="A203" s="48" t="s">
        <v>83</v>
      </c>
      <c r="B203" s="48" t="e">
        <f>IF(#REF!=1,B189,0)</f>
        <v>#REF!</v>
      </c>
      <c r="D203" s="52" t="e">
        <f>IF(#REF!=1,B189,0)</f>
        <v>#REF!</v>
      </c>
      <c r="E203" s="48" t="e">
        <f>IF(#REF!=1,E189,0)</f>
        <v>#REF!</v>
      </c>
      <c r="G203" s="52" t="e">
        <f>IF(#REF!=1,E189,0)</f>
        <v>#REF!</v>
      </c>
      <c r="H203" s="48" t="e">
        <f>IF(#REF!=1,H189,0)</f>
        <v>#REF!</v>
      </c>
      <c r="J203" s="52" t="e">
        <f>IF(#REF!=1,H189,0)</f>
        <v>#REF!</v>
      </c>
      <c r="K203" s="48" t="e">
        <f>IF(#REF!=1,K189,0)</f>
        <v>#REF!</v>
      </c>
      <c r="M203" s="52" t="e">
        <f>IF(#REF!=1,K189,0)</f>
        <v>#REF!</v>
      </c>
      <c r="N203" s="48" t="e">
        <f>IF(#REF!=1,N189,0)</f>
        <v>#REF!</v>
      </c>
      <c r="P203" s="52" t="e">
        <f>IF(#REF!=1,N189,0)</f>
        <v>#REF!</v>
      </c>
      <c r="Q203" s="48" t="e">
        <f>IF(#REF!=1,Q189,0)</f>
        <v>#REF!</v>
      </c>
      <c r="S203" s="52" t="e">
        <f>IF(#REF!=1,Q189,0)</f>
        <v>#REF!</v>
      </c>
      <c r="T203" s="48" t="e">
        <f>IF(#REF!=1,T189,0)</f>
        <v>#REF!</v>
      </c>
      <c r="V203" s="52" t="e">
        <f>IF(#REF!=1,T189,0)</f>
        <v>#REF!</v>
      </c>
      <c r="W203" s="48" t="e">
        <f>IF(#REF!=1,W189,0)</f>
        <v>#REF!</v>
      </c>
      <c r="Y203" s="52" t="e">
        <f>IF(#REF!=1,W189,0)</f>
        <v>#REF!</v>
      </c>
      <c r="Z203" s="48" t="e">
        <f>IF(#REF!=1,Z189,0)</f>
        <v>#REF!</v>
      </c>
      <c r="AB203" s="52" t="e">
        <f>IF(#REF!=1,Z189,0)</f>
        <v>#REF!</v>
      </c>
      <c r="AC203" s="48" t="e">
        <f>IF(#REF!=1,AC189,0)</f>
        <v>#REF!</v>
      </c>
      <c r="AE203" s="52" t="e">
        <f>IF(#REF!=1,AC189,0)</f>
        <v>#REF!</v>
      </c>
      <c r="AF203" s="48" t="e">
        <f>SUM(B203:AE203)</f>
        <v>#REF!</v>
      </c>
    </row>
    <row r="204" spans="1:37" s="48" customFormat="1" ht="12.75" hidden="1" customHeight="1" x14ac:dyDescent="0.25">
      <c r="A204" s="48" t="s">
        <v>84</v>
      </c>
      <c r="B204" s="48" t="e">
        <f>IF(#REF!=2,B189,0)</f>
        <v>#REF!</v>
      </c>
      <c r="D204" s="52" t="e">
        <f>IF(#REF!=2,B189,0)</f>
        <v>#REF!</v>
      </c>
      <c r="E204" s="48" t="e">
        <f>IF(#REF!=2,E189,0)</f>
        <v>#REF!</v>
      </c>
      <c r="G204" s="52" t="e">
        <f>IF(#REF!=2,E189,0)</f>
        <v>#REF!</v>
      </c>
      <c r="H204" s="48" t="e">
        <f>IF(#REF!=2,H189,0)</f>
        <v>#REF!</v>
      </c>
      <c r="J204" s="52" t="e">
        <f>IF(#REF!=2,H189,0)</f>
        <v>#REF!</v>
      </c>
      <c r="K204" s="48" t="e">
        <f>IF(#REF!=2,K189,0)</f>
        <v>#REF!</v>
      </c>
      <c r="M204" s="52" t="e">
        <f>IF(#REF!=2,K189,0)</f>
        <v>#REF!</v>
      </c>
      <c r="N204" s="48" t="e">
        <f>IF(#REF!=2,N189,0)</f>
        <v>#REF!</v>
      </c>
      <c r="P204" s="52" t="e">
        <f>IF(#REF!=2,N189,0)</f>
        <v>#REF!</v>
      </c>
      <c r="Q204" s="48" t="e">
        <f>IF(#REF!=2,Q189,0)</f>
        <v>#REF!</v>
      </c>
      <c r="S204" s="52" t="e">
        <f>IF(#REF!=2,Q189,0)</f>
        <v>#REF!</v>
      </c>
      <c r="T204" s="48" t="e">
        <f>IF(#REF!=2,T189,0)</f>
        <v>#REF!</v>
      </c>
      <c r="V204" s="52" t="e">
        <f>IF(#REF!=2,T189,0)</f>
        <v>#REF!</v>
      </c>
      <c r="W204" s="48" t="e">
        <f>IF(#REF!=2,W189,0)</f>
        <v>#REF!</v>
      </c>
      <c r="Y204" s="52" t="e">
        <f>IF(#REF!=2,W189,0)</f>
        <v>#REF!</v>
      </c>
      <c r="Z204" s="48" t="e">
        <f>IF(#REF!=2,Z189,0)</f>
        <v>#REF!</v>
      </c>
      <c r="AB204" s="52" t="e">
        <f>IF(#REF!=2,Z189,0)</f>
        <v>#REF!</v>
      </c>
      <c r="AC204" s="48" t="e">
        <f>IF(#REF!=2,AC189,0)</f>
        <v>#REF!</v>
      </c>
      <c r="AE204" s="52" t="e">
        <f>IF(#REF!=2,AC189,0)</f>
        <v>#REF!</v>
      </c>
      <c r="AF204" s="48" t="e">
        <f>SUM(B204:AE204)</f>
        <v>#REF!</v>
      </c>
    </row>
    <row r="205" spans="1:37" s="48" customFormat="1" ht="12.75" hidden="1" customHeight="1" x14ac:dyDescent="0.25">
      <c r="A205" s="48" t="s">
        <v>85</v>
      </c>
      <c r="B205" s="48" t="e">
        <f>IF(#REF!=3,B189,0)</f>
        <v>#REF!</v>
      </c>
      <c r="D205" s="52" t="e">
        <f>IF(#REF!=3,B189,0)</f>
        <v>#REF!</v>
      </c>
      <c r="E205" s="48" t="e">
        <f>IF(#REF!=3,E189,0)</f>
        <v>#REF!</v>
      </c>
      <c r="G205" s="52" t="e">
        <f>IF(#REF!=3,E189,0)</f>
        <v>#REF!</v>
      </c>
      <c r="H205" s="48" t="e">
        <f>IF(#REF!=3,H189,0)</f>
        <v>#REF!</v>
      </c>
      <c r="J205" s="52" t="e">
        <f>IF(#REF!=3,H189,0)</f>
        <v>#REF!</v>
      </c>
      <c r="K205" s="48" t="e">
        <f>IF(#REF!=3,K189,0)</f>
        <v>#REF!</v>
      </c>
      <c r="M205" s="52" t="e">
        <f>IF(#REF!=3,K189,0)</f>
        <v>#REF!</v>
      </c>
      <c r="N205" s="48" t="e">
        <f>IF(#REF!=3,N189,0)</f>
        <v>#REF!</v>
      </c>
      <c r="P205" s="52" t="e">
        <f>IF(#REF!=3,N189,0)</f>
        <v>#REF!</v>
      </c>
      <c r="Q205" s="48" t="e">
        <f>IF(#REF!=3,Q189,0)</f>
        <v>#REF!</v>
      </c>
      <c r="S205" s="52" t="e">
        <f>IF(#REF!=3,Q189,0)</f>
        <v>#REF!</v>
      </c>
      <c r="T205" s="48" t="e">
        <f>IF(#REF!=3,T189,0)</f>
        <v>#REF!</v>
      </c>
      <c r="V205" s="52" t="e">
        <f>IF(#REF!=3,T189,0)</f>
        <v>#REF!</v>
      </c>
      <c r="W205" s="48" t="e">
        <f>IF(#REF!=3,W189,0)</f>
        <v>#REF!</v>
      </c>
      <c r="Y205" s="52" t="e">
        <f>IF(#REF!=3,W189,0)</f>
        <v>#REF!</v>
      </c>
      <c r="Z205" s="48" t="e">
        <f>IF(#REF!=3,Z189,0)</f>
        <v>#REF!</v>
      </c>
      <c r="AB205" s="52" t="e">
        <f>IF(#REF!=3,Z189,0)</f>
        <v>#REF!</v>
      </c>
      <c r="AC205" s="48" t="e">
        <f>IF(#REF!=3,AC189,0)</f>
        <v>#REF!</v>
      </c>
      <c r="AE205" s="52" t="e">
        <f>IF(#REF!=3,AC189,0)</f>
        <v>#REF!</v>
      </c>
      <c r="AF205" s="48" t="e">
        <f>SUM(B205:AE205)</f>
        <v>#REF!</v>
      </c>
    </row>
    <row r="206" spans="1:37" s="48" customFormat="1" ht="12.75" hidden="1" customHeight="1" x14ac:dyDescent="0.25">
      <c r="A206" s="48" t="s">
        <v>86</v>
      </c>
      <c r="B206" s="48" t="e">
        <f>IF(#REF!=4,B189,0)</f>
        <v>#REF!</v>
      </c>
      <c r="D206" s="52" t="e">
        <f>IF(#REF!=4,B189,0)</f>
        <v>#REF!</v>
      </c>
      <c r="E206" s="48" t="e">
        <f>IF(#REF!=4,E189,0)</f>
        <v>#REF!</v>
      </c>
      <c r="G206" s="52" t="e">
        <f>IF(#REF!=4,E189,0)</f>
        <v>#REF!</v>
      </c>
      <c r="H206" s="48" t="e">
        <f>IF(#REF!=4,H189,0)</f>
        <v>#REF!</v>
      </c>
      <c r="J206" s="52" t="e">
        <f>IF(#REF!=4,H189,0)</f>
        <v>#REF!</v>
      </c>
      <c r="K206" s="48" t="e">
        <f>IF(#REF!=4,K189,0)</f>
        <v>#REF!</v>
      </c>
      <c r="M206" s="52" t="e">
        <f>IF(#REF!=4,K189,0)</f>
        <v>#REF!</v>
      </c>
      <c r="N206" s="48" t="e">
        <f>IF(#REF!=4,N189,0)</f>
        <v>#REF!</v>
      </c>
      <c r="P206" s="52" t="e">
        <f>IF(#REF!=4,N189,0)</f>
        <v>#REF!</v>
      </c>
      <c r="Q206" s="48" t="e">
        <f>IF(#REF!=4,Q189,0)</f>
        <v>#REF!</v>
      </c>
      <c r="S206" s="52" t="e">
        <f>IF(#REF!=4,Q189,0)</f>
        <v>#REF!</v>
      </c>
      <c r="T206" s="48" t="e">
        <f>IF(#REF!=4,T189,0)</f>
        <v>#REF!</v>
      </c>
      <c r="V206" s="52" t="e">
        <f>IF(#REF!=4,T189,0)</f>
        <v>#REF!</v>
      </c>
      <c r="W206" s="48" t="e">
        <f>IF(#REF!=4,W189,0)</f>
        <v>#REF!</v>
      </c>
      <c r="Y206" s="52" t="e">
        <f>IF(#REF!=4,W189,0)</f>
        <v>#REF!</v>
      </c>
      <c r="Z206" s="48" t="e">
        <f>IF(#REF!=4,Z189,0)</f>
        <v>#REF!</v>
      </c>
      <c r="AB206" s="52" t="e">
        <f>IF(#REF!=4,Z189,0)</f>
        <v>#REF!</v>
      </c>
      <c r="AC206" s="48" t="e">
        <f>IF(#REF!=4,AC189,0)</f>
        <v>#REF!</v>
      </c>
      <c r="AE206" s="52" t="e">
        <f>IF(#REF!=4,AC189,0)</f>
        <v>#REF!</v>
      </c>
      <c r="AF206" s="48" t="e">
        <f>SUM(B206:AE206)</f>
        <v>#REF!</v>
      </c>
    </row>
    <row r="207" spans="1:37" s="48" customFormat="1" ht="12.75" hidden="1" customHeight="1" x14ac:dyDescent="0.25">
      <c r="A207" s="48" t="s">
        <v>87</v>
      </c>
      <c r="B207" s="48" t="e">
        <f>IF(#REF!=5,B189,0)</f>
        <v>#REF!</v>
      </c>
      <c r="D207" s="52" t="e">
        <f>IF(#REF!=5,B189,0)</f>
        <v>#REF!</v>
      </c>
      <c r="E207" s="48" t="e">
        <f>IF(#REF!=5,E189,0)</f>
        <v>#REF!</v>
      </c>
      <c r="G207" s="52" t="e">
        <f>IF(#REF!=5,E189,0)</f>
        <v>#REF!</v>
      </c>
      <c r="H207" s="48" t="e">
        <f>IF(#REF!=5,H189,0)</f>
        <v>#REF!</v>
      </c>
      <c r="J207" s="52" t="e">
        <f>IF(#REF!=5,H189,0)</f>
        <v>#REF!</v>
      </c>
      <c r="K207" s="48" t="e">
        <f>IF(#REF!=5,K189,0)</f>
        <v>#REF!</v>
      </c>
      <c r="M207" s="52" t="e">
        <f>IF(#REF!=5,K189,0)</f>
        <v>#REF!</v>
      </c>
      <c r="N207" s="48" t="e">
        <f>IF(#REF!=5,N189,0)</f>
        <v>#REF!</v>
      </c>
      <c r="P207" s="52" t="e">
        <f>IF(#REF!=5,N189,0)</f>
        <v>#REF!</v>
      </c>
      <c r="Q207" s="48" t="e">
        <f>IF(#REF!=5,Q189,0)</f>
        <v>#REF!</v>
      </c>
      <c r="S207" s="52" t="e">
        <f>IF(#REF!=5,Q189,0)</f>
        <v>#REF!</v>
      </c>
      <c r="T207" s="48" t="e">
        <f>IF(#REF!=5,T189,0)</f>
        <v>#REF!</v>
      </c>
      <c r="V207" s="52" t="e">
        <f>IF(#REF!=5,T189,0)</f>
        <v>#REF!</v>
      </c>
      <c r="W207" s="48" t="e">
        <f>IF(#REF!=5,W189,0)</f>
        <v>#REF!</v>
      </c>
      <c r="Y207" s="52" t="e">
        <f>IF(#REF!=5,W189,0)</f>
        <v>#REF!</v>
      </c>
      <c r="Z207" s="48" t="e">
        <f>IF(#REF!=5,Z189,0)</f>
        <v>#REF!</v>
      </c>
      <c r="AB207" s="52" t="e">
        <f>IF(#REF!=5,Z189,0)</f>
        <v>#REF!</v>
      </c>
      <c r="AC207" s="48" t="e">
        <f>IF(#REF!=5,AC189,0)</f>
        <v>#REF!</v>
      </c>
      <c r="AE207" s="52" t="e">
        <f>IF(#REF!=5,AC189,0)</f>
        <v>#REF!</v>
      </c>
      <c r="AF207" s="48" t="e">
        <f>SUM(B207:AE207)</f>
        <v>#REF!</v>
      </c>
    </row>
    <row r="208" spans="1:37" s="48" customFormat="1" ht="38.25" hidden="1" customHeight="1" x14ac:dyDescent="0.25">
      <c r="A208" s="48" t="s">
        <v>89</v>
      </c>
      <c r="D208" s="52"/>
      <c r="G208" s="52"/>
      <c r="J208" s="52"/>
      <c r="M208" s="52"/>
      <c r="P208" s="52"/>
      <c r="S208" s="52"/>
      <c r="V208" s="52"/>
      <c r="Y208" s="52"/>
      <c r="AB208" s="52"/>
      <c r="AE208" s="52"/>
      <c r="AF208" s="51" t="s">
        <v>90</v>
      </c>
      <c r="AG208" s="48" t="s">
        <v>91</v>
      </c>
    </row>
    <row r="209" spans="1:49" s="48" customFormat="1" ht="12.75" hidden="1" customHeight="1" x14ac:dyDescent="0.25">
      <c r="A209" s="48" t="s">
        <v>77</v>
      </c>
      <c r="B209" s="48" t="e">
        <f>IF(#REF!=1,SUMIF(B176:B180,"&gt;0"),0)</f>
        <v>#REF!</v>
      </c>
      <c r="D209" s="52" t="e">
        <f>IF(#REF!=1,SUMIF(D176:D180,"&gt;0"),0)</f>
        <v>#REF!</v>
      </c>
      <c r="E209" s="48" t="e">
        <f>IF(#REF!=1,SUMIF(E176:E180,"&gt;0"),0)</f>
        <v>#REF!</v>
      </c>
      <c r="G209" s="52" t="e">
        <f>IF(#REF!=1,SUMIF(G176:G180,"&gt;0"),0)</f>
        <v>#REF!</v>
      </c>
      <c r="H209" s="48" t="e">
        <f>IF(#REF!=1,SUMIF(H176:H180,"&gt;0"),0)</f>
        <v>#REF!</v>
      </c>
      <c r="J209" s="52" t="e">
        <f>IF(#REF!=1,SUMIF(J176:J180,"&gt;0"),0)</f>
        <v>#REF!</v>
      </c>
      <c r="K209" s="48" t="e">
        <f>IF(#REF!=1,SUMIF(K176:K180,"&gt;0"),0)</f>
        <v>#REF!</v>
      </c>
      <c r="M209" s="52" t="e">
        <f>IF(#REF!=1,SUMIF(M176:M180,"&gt;0"),0)</f>
        <v>#REF!</v>
      </c>
      <c r="N209" s="48" t="e">
        <f>IF(#REF!=1,SUMIF(N176:N180,"&gt;0"),0)</f>
        <v>#REF!</v>
      </c>
      <c r="P209" s="52" t="e">
        <f>IF(#REF!=1,SUMIF(P176:P180,"&gt;0"),0)</f>
        <v>#REF!</v>
      </c>
      <c r="Q209" s="48" t="e">
        <f>IF(#REF!=1,SUMIF(Q176:Q180,"&gt;0"),0)</f>
        <v>#REF!</v>
      </c>
      <c r="S209" s="52" t="e">
        <f>IF(#REF!=1,SUMIF(S176:S180,"&gt;0"),0)</f>
        <v>#REF!</v>
      </c>
      <c r="T209" s="48" t="e">
        <f>IF(#REF!=1,SUMIF(T176:T180,"&gt;0"),0)</f>
        <v>#REF!</v>
      </c>
      <c r="V209" s="52" t="e">
        <f>IF(#REF!=1,SUMIF(V176:V180,"&gt;0"),0)</f>
        <v>#REF!</v>
      </c>
      <c r="W209" s="48" t="e">
        <f>IF(#REF!=1,SUMIF(W176:W180,"&gt;0"),0)</f>
        <v>#REF!</v>
      </c>
      <c r="Y209" s="52" t="e">
        <f>IF(#REF!=1,SUMIF(Y176:Y180,"&gt;0"),0)</f>
        <v>#REF!</v>
      </c>
      <c r="Z209" s="48" t="e">
        <f>IF(#REF!=1,SUMIF(Z176:Z180,"&gt;0"),0)</f>
        <v>#REF!</v>
      </c>
      <c r="AB209" s="52" t="e">
        <f>IF(#REF!=1,SUMIF(AB176:AB180,"&gt;0"),0)</f>
        <v>#REF!</v>
      </c>
      <c r="AC209" s="48" t="e">
        <f>IF(#REF!=1,SUMIF(AC176:AC180,"&gt;0"),0)</f>
        <v>#REF!</v>
      </c>
      <c r="AE209" s="52" t="e">
        <f>IF(#REF!=1,SUMIF(AE176:AE180,"&gt;0"),0)</f>
        <v>#REF!</v>
      </c>
      <c r="AF209" s="48" t="e">
        <f>SUM(B209:AE209)</f>
        <v>#REF!</v>
      </c>
      <c r="AG209" s="48" t="e">
        <f>AF217-AF209</f>
        <v>#REF!</v>
      </c>
    </row>
    <row r="210" spans="1:49" s="48" customFormat="1" ht="12.75" hidden="1" customHeight="1" x14ac:dyDescent="0.25">
      <c r="A210" s="48" t="s">
        <v>78</v>
      </c>
      <c r="B210" s="48" t="e">
        <f>IF(#REF!=2,SUMIF(B176:B180,"&gt;0"),0)</f>
        <v>#REF!</v>
      </c>
      <c r="D210" s="52" t="e">
        <f>IF(#REF!=2,SUMIF(D176:D180,"&gt;0"),0)</f>
        <v>#REF!</v>
      </c>
      <c r="E210" s="48" t="e">
        <f>IF(#REF!=2,SUMIF(E176:E180,"&gt;0"),0)</f>
        <v>#REF!</v>
      </c>
      <c r="G210" s="52" t="e">
        <f>IF(#REF!=2,SUMIF(G176:G180,"&gt;0"),0)</f>
        <v>#REF!</v>
      </c>
      <c r="H210" s="48" t="e">
        <f>IF(#REF!=2,SUMIF(H176:H180,"&gt;0"),0)</f>
        <v>#REF!</v>
      </c>
      <c r="J210" s="52" t="e">
        <f>IF(#REF!=2,SUMIF(J176:J180,"&gt;0"),0)</f>
        <v>#REF!</v>
      </c>
      <c r="K210" s="48" t="e">
        <f>IF(#REF!=2,SUMIF(K176:K180,"&gt;0"),0)</f>
        <v>#REF!</v>
      </c>
      <c r="M210" s="52" t="e">
        <f>IF(#REF!=2,SUMIF(M176:M180,"&gt;0"),0)</f>
        <v>#REF!</v>
      </c>
      <c r="N210" s="48" t="e">
        <f>IF(#REF!=2,SUMIF(N176:N180,"&gt;0"),0)</f>
        <v>#REF!</v>
      </c>
      <c r="P210" s="52" t="e">
        <f>IF(#REF!=2,SUMIF(P176:P180,"&gt;0"),0)</f>
        <v>#REF!</v>
      </c>
      <c r="Q210" s="48" t="e">
        <f>IF(#REF!=2,SUMIF(Q176:Q180,"&gt;0"),0)</f>
        <v>#REF!</v>
      </c>
      <c r="S210" s="52" t="e">
        <f>IF(#REF!=2,SUMIF(S176:S180,"&gt;0"),0)</f>
        <v>#REF!</v>
      </c>
      <c r="T210" s="48" t="e">
        <f>IF(#REF!=2,SUMIF(T176:T180,"&gt;0"),0)</f>
        <v>#REF!</v>
      </c>
      <c r="V210" s="52" t="e">
        <f>IF(#REF!=2,SUMIF(V176:V180,"&gt;0"),0)</f>
        <v>#REF!</v>
      </c>
      <c r="W210" s="48" t="e">
        <f>IF(#REF!=2,SUMIF(W176:W180,"&gt;0"),0)</f>
        <v>#REF!</v>
      </c>
      <c r="Y210" s="52" t="e">
        <f>IF(#REF!=2,SUMIF(Y176:Y180,"&gt;0"),0)</f>
        <v>#REF!</v>
      </c>
      <c r="Z210" s="48" t="e">
        <f>IF(#REF!=2,SUMIF(Z176:Z180,"&gt;0"),0)</f>
        <v>#REF!</v>
      </c>
      <c r="AB210" s="52" t="e">
        <f>IF(#REF!=2,SUMIF(AB176:AB180,"&gt;0"),0)</f>
        <v>#REF!</v>
      </c>
      <c r="AC210" s="48" t="e">
        <f>IF(#REF!=2,SUMIF(AC176:AC180,"&gt;0"),0)</f>
        <v>#REF!</v>
      </c>
      <c r="AE210" s="52" t="e">
        <f>IF(#REF!=2,SUMIF(AE176:AE180,"&gt;0"),0)</f>
        <v>#REF!</v>
      </c>
      <c r="AF210" s="48" t="e">
        <f>SUM(B210:AE210)</f>
        <v>#REF!</v>
      </c>
      <c r="AG210" s="48" t="e">
        <f>AF218-AF210</f>
        <v>#REF!</v>
      </c>
    </row>
    <row r="211" spans="1:49" s="48" customFormat="1" ht="12.75" hidden="1" customHeight="1" x14ac:dyDescent="0.25">
      <c r="A211" s="48" t="s">
        <v>79</v>
      </c>
      <c r="B211" s="48" t="e">
        <f>IF(#REF!=3,SUMIF(B176:B180,"&gt;0"),0)</f>
        <v>#REF!</v>
      </c>
      <c r="D211" s="52" t="e">
        <f>IF(#REF!=3,SUMIF(D176:D180,"&gt;0"),0)</f>
        <v>#REF!</v>
      </c>
      <c r="E211" s="48" t="e">
        <f>IF(#REF!=3,SUMIF(E176:E180,"&gt;0"),0)</f>
        <v>#REF!</v>
      </c>
      <c r="G211" s="52" t="e">
        <f>IF(#REF!=3,SUMIF(G176:G180,"&gt;0"),0)</f>
        <v>#REF!</v>
      </c>
      <c r="H211" s="48" t="e">
        <f>IF(#REF!=3,SUMIF(H176:H180,"&gt;0"),0)</f>
        <v>#REF!</v>
      </c>
      <c r="J211" s="52" t="e">
        <f>IF(#REF!=3,SUMIF(J176:J180,"&gt;0"),0)</f>
        <v>#REF!</v>
      </c>
      <c r="K211" s="48" t="e">
        <f>IF(#REF!=3,SUMIF(K176:K180,"&gt;0"),0)</f>
        <v>#REF!</v>
      </c>
      <c r="M211" s="52" t="e">
        <f>IF(#REF!=3,SUMIF(M176:M180,"&gt;0"),0)</f>
        <v>#REF!</v>
      </c>
      <c r="N211" s="48" t="e">
        <f>IF(#REF!=3,SUMIF(N176:N180,"&gt;0"),0)</f>
        <v>#REF!</v>
      </c>
      <c r="P211" s="52" t="e">
        <f>IF(#REF!=3,SUMIF(P176:P180,"&gt;0"),0)</f>
        <v>#REF!</v>
      </c>
      <c r="Q211" s="48" t="e">
        <f>IF(#REF!=3,SUMIF(Q176:Q180,"&gt;0"),0)</f>
        <v>#REF!</v>
      </c>
      <c r="S211" s="52" t="e">
        <f>IF(#REF!=3,SUMIF(S176:S180,"&gt;0"),0)</f>
        <v>#REF!</v>
      </c>
      <c r="T211" s="48" t="e">
        <f>IF(#REF!=3,SUMIF(T176:T180,"&gt;0"),0)</f>
        <v>#REF!</v>
      </c>
      <c r="V211" s="52" t="e">
        <f>IF(#REF!=3,SUMIF(V176:V180,"&gt;0"),0)</f>
        <v>#REF!</v>
      </c>
      <c r="W211" s="48" t="e">
        <f>IF(#REF!=3,SUMIF(W176:W180,"&gt;0"),0)</f>
        <v>#REF!</v>
      </c>
      <c r="Y211" s="52" t="e">
        <f>IF(#REF!=3,SUMIF(Y176:Y180,"&gt;0"),0)</f>
        <v>#REF!</v>
      </c>
      <c r="Z211" s="48" t="e">
        <f>IF(#REF!=3,SUMIF(Z176:Z180,"&gt;0"),0)</f>
        <v>#REF!</v>
      </c>
      <c r="AB211" s="52" t="e">
        <f>IF(#REF!=3,SUMIF(AB176:AB180,"&gt;0"),0)</f>
        <v>#REF!</v>
      </c>
      <c r="AC211" s="48" t="e">
        <f>IF(#REF!=3,SUMIF(AC176:AC180,"&gt;0"),0)</f>
        <v>#REF!</v>
      </c>
      <c r="AE211" s="52" t="e">
        <f>IF(#REF!=3,SUMIF(AE176:AE180,"&gt;0"),0)</f>
        <v>#REF!</v>
      </c>
      <c r="AF211" s="48" t="e">
        <f>SUM(B211:AE211)</f>
        <v>#REF!</v>
      </c>
      <c r="AG211" s="48" t="e">
        <f>AF219-AF211</f>
        <v>#REF!</v>
      </c>
    </row>
    <row r="212" spans="1:49" s="48" customFormat="1" ht="12.75" hidden="1" customHeight="1" x14ac:dyDescent="0.25">
      <c r="A212" s="48" t="s">
        <v>80</v>
      </c>
      <c r="B212" s="48" t="e">
        <f>IF(#REF!=4,SUMIF(B176:B180,"&gt;0"),0)</f>
        <v>#REF!</v>
      </c>
      <c r="D212" s="52" t="e">
        <f>IF(#REF!=4,SUMIF(D176:D180,"&gt;0"),0)</f>
        <v>#REF!</v>
      </c>
      <c r="E212" s="48" t="e">
        <f>IF(#REF!=4,SUMIF(E176:E180,"&gt;0"),0)</f>
        <v>#REF!</v>
      </c>
      <c r="G212" s="52" t="e">
        <f>IF(#REF!=4,SUMIF(G176:G180,"&gt;0"),0)</f>
        <v>#REF!</v>
      </c>
      <c r="H212" s="48" t="e">
        <f>IF(#REF!=4,SUMIF(H176:H180,"&gt;0"),0)</f>
        <v>#REF!</v>
      </c>
      <c r="J212" s="52" t="e">
        <f>IF(#REF!=4,SUMIF(J176:J180,"&gt;0"),0)</f>
        <v>#REF!</v>
      </c>
      <c r="K212" s="48" t="e">
        <f>IF(#REF!=4,SUMIF(K176:K180,"&gt;0"),0)</f>
        <v>#REF!</v>
      </c>
      <c r="M212" s="52" t="e">
        <f>IF(#REF!=4,SUMIF(M176:M180,"&gt;0"),0)</f>
        <v>#REF!</v>
      </c>
      <c r="N212" s="48" t="e">
        <f>IF(#REF!=4,SUMIF(N176:N180,"&gt;0"),0)</f>
        <v>#REF!</v>
      </c>
      <c r="P212" s="52" t="e">
        <f>IF(#REF!=4,SUMIF(P176:P180,"&gt;0"),0)</f>
        <v>#REF!</v>
      </c>
      <c r="Q212" s="48" t="e">
        <f>IF(#REF!=4,SUMIF(Q176:Q180,"&gt;0"),0)</f>
        <v>#REF!</v>
      </c>
      <c r="S212" s="52" t="e">
        <f>IF(#REF!=4,SUMIF(S176:S180,"&gt;0"),0)</f>
        <v>#REF!</v>
      </c>
      <c r="T212" s="48" t="e">
        <f>IF(#REF!=4,SUMIF(T176:T180,"&gt;0"),0)</f>
        <v>#REF!</v>
      </c>
      <c r="V212" s="52" t="e">
        <f>IF(#REF!=4,SUMIF(V176:V180,"&gt;0"),0)</f>
        <v>#REF!</v>
      </c>
      <c r="W212" s="48" t="e">
        <f>IF(#REF!=4,SUMIF(W176:W180,"&gt;0"),0)</f>
        <v>#REF!</v>
      </c>
      <c r="Y212" s="52" t="e">
        <f>IF(#REF!=4,SUMIF(Y176:Y180,"&gt;0"),0)</f>
        <v>#REF!</v>
      </c>
      <c r="Z212" s="48" t="e">
        <f>IF(#REF!=4,SUMIF(Z176:Z180,"&gt;0"),0)</f>
        <v>#REF!</v>
      </c>
      <c r="AB212" s="52" t="e">
        <f>IF(#REF!=4,SUMIF(AB176:AB180,"&gt;0"),0)</f>
        <v>#REF!</v>
      </c>
      <c r="AC212" s="48" t="e">
        <f>IF(#REF!=4,SUMIF(AC176:AC180,"&gt;0"),0)</f>
        <v>#REF!</v>
      </c>
      <c r="AE212" s="52" t="e">
        <f>IF(#REF!=4,SUMIF(AE176:AE180,"&gt;0"),0)</f>
        <v>#REF!</v>
      </c>
      <c r="AF212" s="48" t="e">
        <f>SUM(B212:AE212)</f>
        <v>#REF!</v>
      </c>
      <c r="AG212" s="48" t="e">
        <f>AF220-AF212</f>
        <v>#REF!</v>
      </c>
    </row>
    <row r="213" spans="1:49" s="48" customFormat="1" ht="12.75" hidden="1" customHeight="1" x14ac:dyDescent="0.25">
      <c r="A213" s="48" t="s">
        <v>81</v>
      </c>
      <c r="B213" s="48" t="e">
        <f>IF(#REF!=5,SUMIF(B176:B180,"&gt;0"),0)</f>
        <v>#REF!</v>
      </c>
      <c r="D213" s="52" t="e">
        <f>IF(#REF!=5,SUMIF(D176:D180,"&gt;0"),0)</f>
        <v>#REF!</v>
      </c>
      <c r="E213" s="48" t="e">
        <f>IF(#REF!=5,SUMIF(E176:E180,"&gt;0"),0)</f>
        <v>#REF!</v>
      </c>
      <c r="G213" s="52" t="e">
        <f>IF(#REF!=5,SUMIF(G176:G180,"&gt;0"),0)</f>
        <v>#REF!</v>
      </c>
      <c r="H213" s="48" t="e">
        <f>IF(#REF!=5,SUMIF(H176:H180,"&gt;0"),0)</f>
        <v>#REF!</v>
      </c>
      <c r="J213" s="52" t="e">
        <f>IF(#REF!=5,SUMIF(J176:J180,"&gt;0"),0)</f>
        <v>#REF!</v>
      </c>
      <c r="K213" s="48" t="e">
        <f>IF(#REF!=5,SUMIF(K176:K180,"&gt;0"),0)</f>
        <v>#REF!</v>
      </c>
      <c r="M213" s="52" t="e">
        <f>IF(#REF!=5,SUMIF(M176:M180,"&gt;0"),0)</f>
        <v>#REF!</v>
      </c>
      <c r="N213" s="48" t="e">
        <f>IF(#REF!=5,SUMIF(N176:N180,"&gt;0"),0)</f>
        <v>#REF!</v>
      </c>
      <c r="P213" s="52" t="e">
        <f>IF(#REF!=5,SUMIF(P176:P180,"&gt;0"),0)</f>
        <v>#REF!</v>
      </c>
      <c r="Q213" s="48" t="e">
        <f>IF(#REF!=5,SUMIF(Q176:Q180,"&gt;0"),0)</f>
        <v>#REF!</v>
      </c>
      <c r="S213" s="52" t="e">
        <f>IF(#REF!=5,SUMIF(S176:S180,"&gt;0"),0)</f>
        <v>#REF!</v>
      </c>
      <c r="T213" s="48" t="e">
        <f>IF(#REF!=5,SUMIF(T176:T180,"&gt;0"),0)</f>
        <v>#REF!</v>
      </c>
      <c r="V213" s="52" t="e">
        <f>IF(#REF!=5,SUMIF(V176:V180,"&gt;0"),0)</f>
        <v>#REF!</v>
      </c>
      <c r="W213" s="48" t="e">
        <f>IF(#REF!=5,SUMIF(W176:W180,"&gt;0"),0)</f>
        <v>#REF!</v>
      </c>
      <c r="Y213" s="52" t="e">
        <f>IF(#REF!=5,SUMIF(Y176:Y180,"&gt;0"),0)</f>
        <v>#REF!</v>
      </c>
      <c r="Z213" s="48" t="e">
        <f>IF(#REF!=5,SUMIF(Z176:Z180,"&gt;0"),0)</f>
        <v>#REF!</v>
      </c>
      <c r="AB213" s="52" t="e">
        <f>IF(#REF!=5,SUMIF(AB176:AB180,"&gt;0"),0)</f>
        <v>#REF!</v>
      </c>
      <c r="AC213" s="48" t="e">
        <f>IF(#REF!=5,SUMIF(AC176:AC180,"&gt;0"),0)</f>
        <v>#REF!</v>
      </c>
      <c r="AE213" s="52" t="e">
        <f>IF(#REF!=5,SUMIF(AE176:AE180,"&gt;0"),0)</f>
        <v>#REF!</v>
      </c>
      <c r="AF213" s="48" t="e">
        <f>SUM(B213:AE213)</f>
        <v>#REF!</v>
      </c>
      <c r="AG213" s="48" t="e">
        <f>AF221-AF213</f>
        <v>#REF!</v>
      </c>
    </row>
    <row r="214" spans="1:49" s="48" customFormat="1" ht="12.75" hidden="1" customHeight="1" x14ac:dyDescent="0.25">
      <c r="D214" s="52"/>
      <c r="G214" s="52"/>
      <c r="J214" s="52"/>
      <c r="M214" s="52"/>
      <c r="P214" s="52"/>
      <c r="S214" s="52"/>
      <c r="V214" s="52"/>
      <c r="Y214" s="52"/>
      <c r="AB214" s="52"/>
      <c r="AE214" s="52"/>
    </row>
    <row r="215" spans="1:49" s="48" customFormat="1" ht="12.75" hidden="1" customHeight="1" x14ac:dyDescent="0.25">
      <c r="D215" s="52"/>
      <c r="G215" s="52"/>
      <c r="J215" s="52"/>
      <c r="M215" s="52"/>
      <c r="P215" s="52"/>
      <c r="S215" s="52"/>
      <c r="V215" s="52"/>
      <c r="Y215" s="52"/>
      <c r="AB215" s="52"/>
      <c r="AE215" s="52"/>
    </row>
    <row r="216" spans="1:49" s="48" customFormat="1" ht="51" hidden="1" customHeight="1" x14ac:dyDescent="0.25">
      <c r="A216" s="51" t="s">
        <v>92</v>
      </c>
      <c r="C216" s="48">
        <f>SUMIF(B209:D213,"&gt;0")</f>
        <v>0</v>
      </c>
      <c r="D216" s="52"/>
      <c r="F216" s="48">
        <f>SUMIF(E209:G213,"&gt;0")</f>
        <v>0</v>
      </c>
      <c r="G216" s="52"/>
      <c r="I216" s="48">
        <f>SUMIF(H209:J213,"&gt;0")</f>
        <v>0</v>
      </c>
      <c r="J216" s="52"/>
      <c r="L216" s="48">
        <f>SUMIF(K209:M213,"&gt;0")</f>
        <v>0</v>
      </c>
      <c r="M216" s="52"/>
      <c r="O216" s="48">
        <f>SUMIF(N209:P213,"&gt;0")</f>
        <v>0</v>
      </c>
      <c r="P216" s="52"/>
      <c r="R216" s="48">
        <f>SUMIF(Q209:S213,"&gt;0")</f>
        <v>0</v>
      </c>
      <c r="S216" s="52"/>
      <c r="U216" s="48">
        <f>SUMIF(T209:V213,"&gt;0")</f>
        <v>0</v>
      </c>
      <c r="V216" s="52"/>
      <c r="X216" s="48">
        <f>SUMIF(W209:Y213,"&gt;0")</f>
        <v>0</v>
      </c>
      <c r="Y216" s="52"/>
      <c r="AA216" s="48">
        <f>SUMIF(Z209:AB213,"&gt;0")</f>
        <v>0</v>
      </c>
      <c r="AB216" s="52"/>
      <c r="AD216" s="48">
        <f>SUMIF(AC209:AE213,"&gt;0")</f>
        <v>0</v>
      </c>
      <c r="AE216" s="52"/>
      <c r="AF216" s="51" t="s">
        <v>93</v>
      </c>
    </row>
    <row r="217" spans="1:49" s="48" customFormat="1" ht="12.75" hidden="1" customHeight="1" x14ac:dyDescent="0.25">
      <c r="A217" s="48" t="s">
        <v>83</v>
      </c>
      <c r="B217" s="48" t="e">
        <f>IF(#REF!=1,C216,0)</f>
        <v>#REF!</v>
      </c>
      <c r="D217" s="52" t="e">
        <f>IF(#REF!=1,C216,0)</f>
        <v>#REF!</v>
      </c>
      <c r="E217" s="48" t="e">
        <f>IF(#REF!=1,F216,0)</f>
        <v>#REF!</v>
      </c>
      <c r="G217" s="52" t="e">
        <f>IF(#REF!=1,F216,0)</f>
        <v>#REF!</v>
      </c>
      <c r="H217" s="48" t="e">
        <f>IF(#REF!=1,I216,0)</f>
        <v>#REF!</v>
      </c>
      <c r="J217" s="52" t="e">
        <f>IF(#REF!=1,I216,0)</f>
        <v>#REF!</v>
      </c>
      <c r="K217" s="48" t="e">
        <f>IF(#REF!=1,L216,0)</f>
        <v>#REF!</v>
      </c>
      <c r="M217" s="52" t="e">
        <f>IF(#REF!=1,L216,0)</f>
        <v>#REF!</v>
      </c>
      <c r="N217" s="48" t="e">
        <f>IF(#REF!=1,O216,0)</f>
        <v>#REF!</v>
      </c>
      <c r="P217" s="52" t="e">
        <f>IF(#REF!=1,O216,0)</f>
        <v>#REF!</v>
      </c>
      <c r="Q217" s="48" t="e">
        <f>IF(#REF!=1,R216,0)</f>
        <v>#REF!</v>
      </c>
      <c r="S217" s="52" t="e">
        <f>IF(#REF!=1,R216,0)</f>
        <v>#REF!</v>
      </c>
      <c r="T217" s="48" t="e">
        <f>IF(#REF!=1,U216,0)</f>
        <v>#REF!</v>
      </c>
      <c r="V217" s="52" t="e">
        <f>IF(#REF!=1,U216,0)</f>
        <v>#REF!</v>
      </c>
      <c r="W217" s="48" t="e">
        <f>IF(#REF!=1,X216,0)</f>
        <v>#REF!</v>
      </c>
      <c r="Y217" s="52" t="e">
        <f>IF(#REF!=1,X216,0)</f>
        <v>#REF!</v>
      </c>
      <c r="Z217" s="48" t="e">
        <f>IF(#REF!=1,AA216,0)</f>
        <v>#REF!</v>
      </c>
      <c r="AB217" s="52" t="e">
        <f>IF(#REF!=1,AA216,0)</f>
        <v>#REF!</v>
      </c>
      <c r="AC217" s="48" t="e">
        <f>IF(#REF!=1,AD216,0)</f>
        <v>#REF!</v>
      </c>
      <c r="AE217" s="52" t="e">
        <f>IF(#REF!=1,AD216,0)</f>
        <v>#REF!</v>
      </c>
      <c r="AF217" s="48" t="e">
        <f>SUM(B217:AE217)</f>
        <v>#REF!</v>
      </c>
    </row>
    <row r="218" spans="1:49" s="48" customFormat="1" ht="12.75" hidden="1" customHeight="1" x14ac:dyDescent="0.25">
      <c r="A218" s="48" t="s">
        <v>84</v>
      </c>
      <c r="B218" s="48" t="e">
        <f>IF(#REF!=2,C216,0)</f>
        <v>#REF!</v>
      </c>
      <c r="D218" s="52" t="e">
        <f>IF(#REF!=2,C216,0)</f>
        <v>#REF!</v>
      </c>
      <c r="E218" s="48" t="e">
        <f>IF(#REF!=2,F216,0)</f>
        <v>#REF!</v>
      </c>
      <c r="G218" s="52" t="e">
        <f>IF(#REF!=2,F216,0)</f>
        <v>#REF!</v>
      </c>
      <c r="H218" s="48" t="e">
        <f>IF(#REF!=2,I216,0)</f>
        <v>#REF!</v>
      </c>
      <c r="J218" s="52" t="e">
        <f>IF(#REF!=2,I216,0)</f>
        <v>#REF!</v>
      </c>
      <c r="K218" s="48" t="e">
        <f>IF(#REF!=2,L216,0)</f>
        <v>#REF!</v>
      </c>
      <c r="M218" s="52" t="e">
        <f>IF(#REF!=2,L216,0)</f>
        <v>#REF!</v>
      </c>
      <c r="N218" s="48" t="e">
        <f>IF(#REF!=2,O216,0)</f>
        <v>#REF!</v>
      </c>
      <c r="P218" s="52" t="e">
        <f>IF(#REF!=2,O216,0)</f>
        <v>#REF!</v>
      </c>
      <c r="Q218" s="48" t="e">
        <f>IF(#REF!=2,R216,0)</f>
        <v>#REF!</v>
      </c>
      <c r="S218" s="52" t="e">
        <f>IF(#REF!=2,R216,0)</f>
        <v>#REF!</v>
      </c>
      <c r="T218" s="48" t="e">
        <f>IF(#REF!=2,U216,0)</f>
        <v>#REF!</v>
      </c>
      <c r="V218" s="52" t="e">
        <f>IF(#REF!=2,U216,0)</f>
        <v>#REF!</v>
      </c>
      <c r="W218" s="48" t="e">
        <f>IF(#REF!=2,X216,0)</f>
        <v>#REF!</v>
      </c>
      <c r="Y218" s="52" t="e">
        <f>IF(#REF!=2,X216,0)</f>
        <v>#REF!</v>
      </c>
      <c r="Z218" s="48" t="e">
        <f>IF(#REF!=2,AA216,0)</f>
        <v>#REF!</v>
      </c>
      <c r="AB218" s="52" t="e">
        <f>IF(#REF!=2,AA216,0)</f>
        <v>#REF!</v>
      </c>
      <c r="AC218" s="48" t="e">
        <f>IF(#REF!=2,AD216,0)</f>
        <v>#REF!</v>
      </c>
      <c r="AE218" s="52" t="e">
        <f>IF(#REF!=2,AD216,0)</f>
        <v>#REF!</v>
      </c>
      <c r="AF218" s="48" t="e">
        <f>SUM(B218:AE218)</f>
        <v>#REF!</v>
      </c>
    </row>
    <row r="219" spans="1:49" s="48" customFormat="1" ht="12.75" hidden="1" customHeight="1" x14ac:dyDescent="0.25">
      <c r="A219" s="48" t="s">
        <v>85</v>
      </c>
      <c r="B219" s="48" t="e">
        <f>IF(#REF!=3,C216,0)</f>
        <v>#REF!</v>
      </c>
      <c r="D219" s="52" t="e">
        <f>IF(#REF!=3,C216,0)</f>
        <v>#REF!</v>
      </c>
      <c r="E219" s="48" t="e">
        <f>IF(#REF!=3,F216,0)</f>
        <v>#REF!</v>
      </c>
      <c r="G219" s="52" t="e">
        <f>IF(#REF!=3,F216,0)</f>
        <v>#REF!</v>
      </c>
      <c r="H219" s="48" t="e">
        <f>IF(#REF!=3,I216,0)</f>
        <v>#REF!</v>
      </c>
      <c r="J219" s="52" t="e">
        <f>IF(#REF!=3,I216,0)</f>
        <v>#REF!</v>
      </c>
      <c r="K219" s="48" t="e">
        <f>IF(#REF!=3,L216,0)</f>
        <v>#REF!</v>
      </c>
      <c r="M219" s="52" t="e">
        <f>IF(#REF!=3,L216,0)</f>
        <v>#REF!</v>
      </c>
      <c r="N219" s="48" t="e">
        <f>IF(#REF!=3,O216,0)</f>
        <v>#REF!</v>
      </c>
      <c r="P219" s="52" t="e">
        <f>IF(#REF!=3,O216,0)</f>
        <v>#REF!</v>
      </c>
      <c r="Q219" s="48" t="e">
        <f>IF(#REF!=3,R216,0)</f>
        <v>#REF!</v>
      </c>
      <c r="S219" s="52" t="e">
        <f>IF(#REF!=3,R216,0)</f>
        <v>#REF!</v>
      </c>
      <c r="T219" s="48" t="e">
        <f>IF(#REF!=3,U216,0)</f>
        <v>#REF!</v>
      </c>
      <c r="V219" s="52" t="e">
        <f>IF(#REF!=3,U216,0)</f>
        <v>#REF!</v>
      </c>
      <c r="W219" s="48" t="e">
        <f>IF(#REF!=3,X216,0)</f>
        <v>#REF!</v>
      </c>
      <c r="Y219" s="52" t="e">
        <f>IF(#REF!=3,X216,0)</f>
        <v>#REF!</v>
      </c>
      <c r="Z219" s="48" t="e">
        <f>IF(#REF!=3,AA216,0)</f>
        <v>#REF!</v>
      </c>
      <c r="AB219" s="52" t="e">
        <f>IF(#REF!=3,AA216,0)</f>
        <v>#REF!</v>
      </c>
      <c r="AC219" s="48" t="e">
        <f>IF(#REF!=3,AD216,0)</f>
        <v>#REF!</v>
      </c>
      <c r="AE219" s="52" t="e">
        <f>IF(#REF!=3,AD216,0)</f>
        <v>#REF!</v>
      </c>
      <c r="AF219" s="48" t="e">
        <f>SUM(B219:AE219)</f>
        <v>#REF!</v>
      </c>
    </row>
    <row r="220" spans="1:49" s="48" customFormat="1" ht="12.75" hidden="1" customHeight="1" x14ac:dyDescent="0.25">
      <c r="A220" s="48" t="s">
        <v>86</v>
      </c>
      <c r="B220" s="48" t="e">
        <f>IF(#REF!=4,C216,0)</f>
        <v>#REF!</v>
      </c>
      <c r="D220" s="52" t="e">
        <f>IF(#REF!=4,C216,0)</f>
        <v>#REF!</v>
      </c>
      <c r="E220" s="48" t="e">
        <f>IF(#REF!=4,F216,0)</f>
        <v>#REF!</v>
      </c>
      <c r="G220" s="52" t="e">
        <f>IF(#REF!=4,F216,0)</f>
        <v>#REF!</v>
      </c>
      <c r="H220" s="48" t="e">
        <f>IF(#REF!=4,I216,0)</f>
        <v>#REF!</v>
      </c>
      <c r="J220" s="52" t="e">
        <f>IF(#REF!=4,I216,0)</f>
        <v>#REF!</v>
      </c>
      <c r="K220" s="48" t="e">
        <f>IF(#REF!=4,L216,0)</f>
        <v>#REF!</v>
      </c>
      <c r="M220" s="52" t="e">
        <f>IF(#REF!=4,L216,0)</f>
        <v>#REF!</v>
      </c>
      <c r="N220" s="48" t="e">
        <f>IF(#REF!=4,O216,0)</f>
        <v>#REF!</v>
      </c>
      <c r="P220" s="52" t="e">
        <f>IF(#REF!=4,O216,0)</f>
        <v>#REF!</v>
      </c>
      <c r="Q220" s="48" t="e">
        <f>IF(#REF!=4,R216,0)</f>
        <v>#REF!</v>
      </c>
      <c r="S220" s="52" t="e">
        <f>IF(#REF!=4,R216,0)</f>
        <v>#REF!</v>
      </c>
      <c r="T220" s="48" t="e">
        <f>IF(#REF!=4,U216,0)</f>
        <v>#REF!</v>
      </c>
      <c r="V220" s="52" t="e">
        <f>IF(#REF!=4,U216,0)</f>
        <v>#REF!</v>
      </c>
      <c r="W220" s="48" t="e">
        <f>IF(#REF!=4,X216,0)</f>
        <v>#REF!</v>
      </c>
      <c r="Y220" s="52" t="e">
        <f>IF(#REF!=4,X216,0)</f>
        <v>#REF!</v>
      </c>
      <c r="Z220" s="48" t="e">
        <f>IF(#REF!=4,AA216,0)</f>
        <v>#REF!</v>
      </c>
      <c r="AB220" s="52" t="e">
        <f>IF(#REF!=4,AA216,0)</f>
        <v>#REF!</v>
      </c>
      <c r="AC220" s="48" t="e">
        <f>IF(#REF!=4,AD216,0)</f>
        <v>#REF!</v>
      </c>
      <c r="AE220" s="52" t="e">
        <f>IF(#REF!=4,AD216,0)</f>
        <v>#REF!</v>
      </c>
      <c r="AF220" s="48" t="e">
        <f>SUM(B220:AE220)</f>
        <v>#REF!</v>
      </c>
    </row>
    <row r="221" spans="1:49" s="48" customFormat="1" ht="12.75" hidden="1" customHeight="1" x14ac:dyDescent="0.25">
      <c r="A221" s="48" t="s">
        <v>87</v>
      </c>
      <c r="B221" s="48" t="e">
        <f>IF(#REF!=5,C216,0)</f>
        <v>#REF!</v>
      </c>
      <c r="D221" s="52" t="e">
        <f>IF(#REF!=5,C216,0)</f>
        <v>#REF!</v>
      </c>
      <c r="E221" s="48" t="e">
        <f>IF(#REF!=5,F216,0)</f>
        <v>#REF!</v>
      </c>
      <c r="G221" s="52" t="e">
        <f>IF(#REF!=5,F216,0)</f>
        <v>#REF!</v>
      </c>
      <c r="H221" s="48" t="e">
        <f>IF(#REF!=5,I216,0)</f>
        <v>#REF!</v>
      </c>
      <c r="J221" s="52" t="e">
        <f>IF(#REF!=5,I216,0)</f>
        <v>#REF!</v>
      </c>
      <c r="K221" s="48" t="e">
        <f>IF(#REF!=5,L216,0)</f>
        <v>#REF!</v>
      </c>
      <c r="M221" s="52" t="e">
        <f>IF(#REF!=5,L216,0)</f>
        <v>#REF!</v>
      </c>
      <c r="N221" s="48" t="e">
        <f>IF(#REF!=5,O216,0)</f>
        <v>#REF!</v>
      </c>
      <c r="P221" s="52" t="e">
        <f>IF(#REF!=5,O216,0)</f>
        <v>#REF!</v>
      </c>
      <c r="Q221" s="48" t="e">
        <f>IF(#REF!=5,R216,0)</f>
        <v>#REF!</v>
      </c>
      <c r="S221" s="52" t="e">
        <f>IF(#REF!=5,R216,0)</f>
        <v>#REF!</v>
      </c>
      <c r="T221" s="48" t="e">
        <f>IF(#REF!=5,U216,0)</f>
        <v>#REF!</v>
      </c>
      <c r="V221" s="52" t="e">
        <f>IF(#REF!=5,U216,0)</f>
        <v>#REF!</v>
      </c>
      <c r="W221" s="48" t="e">
        <f>IF(#REF!=5,X216,0)</f>
        <v>#REF!</v>
      </c>
      <c r="Y221" s="52" t="e">
        <f>IF(#REF!=5,X216,0)</f>
        <v>#REF!</v>
      </c>
      <c r="Z221" s="48" t="e">
        <f>IF(#REF!=5,AA216,0)</f>
        <v>#REF!</v>
      </c>
      <c r="AB221" s="52" t="e">
        <f>IF(#REF!=5,AA216,0)</f>
        <v>#REF!</v>
      </c>
      <c r="AC221" s="48" t="e">
        <f>IF(#REF!=5,AD216,0)</f>
        <v>#REF!</v>
      </c>
      <c r="AE221" s="52" t="e">
        <f>IF(#REF!=5,AD216,0)</f>
        <v>#REF!</v>
      </c>
      <c r="AF221" s="48" t="e">
        <f>SUM(B221:AE221)</f>
        <v>#REF!</v>
      </c>
    </row>
    <row r="222" spans="1:49" hidden="1" x14ac:dyDescent="0.2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4"/>
      <c r="AO222" s="54"/>
      <c r="AP222" s="54"/>
      <c r="AQ222" s="54"/>
      <c r="AR222" s="55"/>
      <c r="AS222" s="55"/>
      <c r="AT222" s="56"/>
    </row>
    <row r="223" spans="1:49" s="55" customFormat="1" hidden="1" x14ac:dyDescent="0.25">
      <c r="A223" s="57"/>
      <c r="B223" s="57"/>
      <c r="C223" s="57" t="s">
        <v>94</v>
      </c>
      <c r="D223" s="57">
        <v>1</v>
      </c>
      <c r="E223" s="57"/>
      <c r="F223" s="57"/>
      <c r="G223" s="57">
        <v>2</v>
      </c>
      <c r="H223" s="57"/>
      <c r="I223" s="57"/>
      <c r="J223" s="57">
        <v>3</v>
      </c>
      <c r="K223" s="57"/>
      <c r="L223" s="57"/>
      <c r="M223" s="57">
        <v>4</v>
      </c>
      <c r="N223" s="57"/>
      <c r="O223" s="57"/>
      <c r="P223" s="57">
        <v>5</v>
      </c>
      <c r="Q223" s="57"/>
      <c r="R223" s="57"/>
      <c r="S223" s="57">
        <v>6</v>
      </c>
      <c r="T223" s="57"/>
      <c r="U223" s="57"/>
      <c r="V223" s="57">
        <v>7</v>
      </c>
      <c r="W223" s="57"/>
      <c r="X223" s="57"/>
      <c r="Y223" s="57">
        <v>8</v>
      </c>
      <c r="Z223" s="57"/>
      <c r="AA223" s="57"/>
      <c r="AB223" s="57">
        <v>9</v>
      </c>
      <c r="AC223" s="57"/>
      <c r="AD223" s="57"/>
      <c r="AE223" s="57">
        <v>10</v>
      </c>
      <c r="AF223" s="4"/>
      <c r="AG223" s="57"/>
      <c r="AI223" s="58"/>
      <c r="AJ223" s="4"/>
      <c r="AK223" s="4"/>
      <c r="AL223" s="4"/>
      <c r="AM223" s="4"/>
      <c r="AN223" s="4"/>
      <c r="AO223" s="4"/>
      <c r="AT223" s="58" t="s">
        <v>95</v>
      </c>
      <c r="AW223" s="59"/>
    </row>
    <row r="224" spans="1:49" s="55" customFormat="1" hidden="1" x14ac:dyDescent="0.25">
      <c r="A224" s="60">
        <v>1</v>
      </c>
      <c r="B224" s="60" t="e">
        <f>#REF!</f>
        <v>#REF!</v>
      </c>
      <c r="C224" s="60" t="e">
        <f>VLOOKUP(B224,AU$3:AW$33,3,FALSE)</f>
        <v>#REF!</v>
      </c>
      <c r="D224" s="60" t="e">
        <f>IF(B217,B232,IF(D217,D232,C224))</f>
        <v>#REF!</v>
      </c>
      <c r="E224" s="60"/>
      <c r="F224" s="60"/>
      <c r="G224" s="60" t="e">
        <f>IF(E217,E232,IF(G217,G232,D224))</f>
        <v>#REF!</v>
      </c>
      <c r="H224" s="60"/>
      <c r="I224" s="60"/>
      <c r="J224" s="60" t="e">
        <f>IF(H217,H232,IF(J217,J232,G224))</f>
        <v>#REF!</v>
      </c>
      <c r="K224" s="60"/>
      <c r="L224" s="60"/>
      <c r="M224" s="60" t="e">
        <f>IF(K217,K232,IF(M217,M232,J224))</f>
        <v>#REF!</v>
      </c>
      <c r="N224" s="60"/>
      <c r="O224" s="60"/>
      <c r="P224" s="60" t="e">
        <f>IF(N217,N232,IF(P217,P232,M224))</f>
        <v>#REF!</v>
      </c>
      <c r="Q224" s="60"/>
      <c r="R224" s="60"/>
      <c r="S224" s="60" t="e">
        <f>IF(Q217,Q232,IF(S217,S232,P224))</f>
        <v>#REF!</v>
      </c>
      <c r="T224" s="60"/>
      <c r="U224" s="60"/>
      <c r="V224" s="60" t="e">
        <f>IF(T217,T232,IF(V217,V232,S224))</f>
        <v>#REF!</v>
      </c>
      <c r="W224" s="60"/>
      <c r="X224" s="60"/>
      <c r="Y224" s="60" t="e">
        <f>IF(W217,W232,IF(Y217,Y232,V224))</f>
        <v>#REF!</v>
      </c>
      <c r="Z224" s="60"/>
      <c r="AA224" s="60"/>
      <c r="AB224" s="60" t="e">
        <f>IF(Z217,Z232,IF(AB217,AB232,Y224))</f>
        <v>#REF!</v>
      </c>
      <c r="AC224" s="60"/>
      <c r="AD224" s="60"/>
      <c r="AE224" s="60" t="e">
        <f>IF(AC217,AC232,IF(AE217,AE232,AB224))</f>
        <v>#REF!</v>
      </c>
      <c r="AF224" s="4"/>
      <c r="AG224" s="4"/>
      <c r="AJ224" s="4"/>
      <c r="AK224" s="4"/>
      <c r="AL224" s="4"/>
      <c r="AM224" s="4"/>
      <c r="AN224" s="4"/>
      <c r="AO224" s="4"/>
      <c r="AT224" s="55" t="e">
        <f>B224</f>
        <v>#REF!</v>
      </c>
      <c r="AU224" s="55" t="e">
        <f>AE224</f>
        <v>#REF!</v>
      </c>
      <c r="AW224" s="59"/>
    </row>
    <row r="225" spans="1:49" s="55" customFormat="1" hidden="1" x14ac:dyDescent="0.25">
      <c r="A225" s="60">
        <v>2</v>
      </c>
      <c r="B225" s="60" t="e">
        <f>#REF!</f>
        <v>#REF!</v>
      </c>
      <c r="C225" s="60" t="e">
        <f>VLOOKUP(B225,AU$3:AW$33,3,FALSE)</f>
        <v>#REF!</v>
      </c>
      <c r="D225" s="60" t="e">
        <f>IF(B218,B232,IF(D218,D232,C225))</f>
        <v>#REF!</v>
      </c>
      <c r="E225" s="60"/>
      <c r="F225" s="60"/>
      <c r="G225" s="60" t="e">
        <f>IF(E218,E232,IF(G218,G232,D225))</f>
        <v>#REF!</v>
      </c>
      <c r="H225" s="60"/>
      <c r="I225" s="60"/>
      <c r="J225" s="60" t="e">
        <f>IF(H218,H232,IF(J218,J232,G225))</f>
        <v>#REF!</v>
      </c>
      <c r="K225" s="60"/>
      <c r="L225" s="60"/>
      <c r="M225" s="60" t="e">
        <f>IF(K218,K232,IF(M218,M232,J225))</f>
        <v>#REF!</v>
      </c>
      <c r="N225" s="60"/>
      <c r="O225" s="60"/>
      <c r="P225" s="60" t="e">
        <f>IF(N218,N232,IF(P218,P232,M225))</f>
        <v>#REF!</v>
      </c>
      <c r="Q225" s="60"/>
      <c r="R225" s="60"/>
      <c r="S225" s="60" t="e">
        <f>IF(Q218,Q232,IF(S218,S232,P225))</f>
        <v>#REF!</v>
      </c>
      <c r="T225" s="60"/>
      <c r="U225" s="60"/>
      <c r="V225" s="60" t="e">
        <f>IF(T218,T232,IF(V218,V232,S225))</f>
        <v>#REF!</v>
      </c>
      <c r="W225" s="60"/>
      <c r="X225" s="60"/>
      <c r="Y225" s="60" t="e">
        <f>IF(W218,W232,IF(Y218,Y232,V225))</f>
        <v>#REF!</v>
      </c>
      <c r="Z225" s="60"/>
      <c r="AA225" s="60"/>
      <c r="AB225" s="60" t="e">
        <f>IF(Z218,Z232,IF(AB218,AB232,Y225))</f>
        <v>#REF!</v>
      </c>
      <c r="AC225" s="60"/>
      <c r="AD225" s="60"/>
      <c r="AE225" s="60" t="e">
        <f>IF(AC218,AC232,IF(AE218,AE232,AB225))</f>
        <v>#REF!</v>
      </c>
      <c r="AF225" s="4"/>
      <c r="AG225" s="4"/>
      <c r="AJ225" s="4"/>
      <c r="AL225" s="4"/>
      <c r="AM225" s="4"/>
      <c r="AN225" s="4"/>
      <c r="AO225" s="4"/>
      <c r="AT225" s="55" t="e">
        <f>B225</f>
        <v>#REF!</v>
      </c>
      <c r="AU225" s="55" t="e">
        <f>AE225</f>
        <v>#REF!</v>
      </c>
      <c r="AW225" s="59"/>
    </row>
    <row r="226" spans="1:49" s="55" customFormat="1" hidden="1" x14ac:dyDescent="0.25">
      <c r="A226" s="60">
        <v>3</v>
      </c>
      <c r="B226" s="60" t="e">
        <f>#REF!</f>
        <v>#REF!</v>
      </c>
      <c r="C226" s="60" t="e">
        <f>VLOOKUP(B226,AU$3:AW$33,3,FALSE)</f>
        <v>#REF!</v>
      </c>
      <c r="D226" s="60" t="e">
        <f>IF(B219,B232,IF(D219,D232,C226))</f>
        <v>#REF!</v>
      </c>
      <c r="E226" s="60"/>
      <c r="F226" s="60"/>
      <c r="G226" s="60" t="e">
        <f>IF(E219,E232,IF(G219,G232,D226))</f>
        <v>#REF!</v>
      </c>
      <c r="H226" s="60"/>
      <c r="I226" s="60"/>
      <c r="J226" s="60" t="e">
        <f>IF(H219,H232,IF(J219,J232,G226))</f>
        <v>#REF!</v>
      </c>
      <c r="K226" s="60"/>
      <c r="L226" s="60"/>
      <c r="M226" s="60" t="e">
        <f>IF(K219,K232,IF(M219,M232,J226))</f>
        <v>#REF!</v>
      </c>
      <c r="N226" s="60"/>
      <c r="O226" s="60"/>
      <c r="P226" s="60" t="e">
        <f>IF(N219,N232,IF(P219,P232,M226))</f>
        <v>#REF!</v>
      </c>
      <c r="Q226" s="60"/>
      <c r="R226" s="60"/>
      <c r="S226" s="60" t="e">
        <f>IF(Q219,Q232,IF(S219,S232,P226))</f>
        <v>#REF!</v>
      </c>
      <c r="T226" s="60"/>
      <c r="U226" s="60"/>
      <c r="V226" s="60" t="e">
        <f>IF(T219,T232,IF(V219,V232,S226))</f>
        <v>#REF!</v>
      </c>
      <c r="W226" s="60"/>
      <c r="X226" s="60"/>
      <c r="Y226" s="60" t="e">
        <f>IF(W219,W232,IF(Y219,Y232,V226))</f>
        <v>#REF!</v>
      </c>
      <c r="Z226" s="60"/>
      <c r="AA226" s="60"/>
      <c r="AB226" s="60" t="e">
        <f>IF(Z219,Z232,IF(AB219,AB232,Y226))</f>
        <v>#REF!</v>
      </c>
      <c r="AC226" s="60"/>
      <c r="AD226" s="60"/>
      <c r="AE226" s="60" t="e">
        <f>IF(AC219,AC232,IF(AE219,AE232,AB226))</f>
        <v>#REF!</v>
      </c>
      <c r="AF226" s="4"/>
      <c r="AG226" s="4"/>
      <c r="AJ226" s="4"/>
      <c r="AL226" s="4"/>
      <c r="AM226" s="4"/>
      <c r="AN226" s="4"/>
      <c r="AO226" s="4"/>
      <c r="AT226" s="55" t="e">
        <f>B226</f>
        <v>#REF!</v>
      </c>
      <c r="AU226" s="55" t="e">
        <f>AE226</f>
        <v>#REF!</v>
      </c>
      <c r="AW226" s="59"/>
    </row>
    <row r="227" spans="1:49" s="55" customFormat="1" hidden="1" x14ac:dyDescent="0.25">
      <c r="A227" s="60">
        <v>4</v>
      </c>
      <c r="B227" s="60" t="e">
        <f>#REF!</f>
        <v>#REF!</v>
      </c>
      <c r="C227" s="60" t="e">
        <f>VLOOKUP(B227,AU$3:AW$33,3,FALSE)</f>
        <v>#REF!</v>
      </c>
      <c r="D227" s="60" t="e">
        <f>IF(B220,B232,IF(D220,D232,C227))</f>
        <v>#REF!</v>
      </c>
      <c r="E227" s="60"/>
      <c r="F227" s="60"/>
      <c r="G227" s="60" t="e">
        <f>IF(E220,E232,IF(G220,G232,D227))</f>
        <v>#REF!</v>
      </c>
      <c r="H227" s="60"/>
      <c r="I227" s="60"/>
      <c r="J227" s="60" t="e">
        <f>IF(H220,H232,IF(J220,J232,G227))</f>
        <v>#REF!</v>
      </c>
      <c r="K227" s="60"/>
      <c r="L227" s="60"/>
      <c r="M227" s="60" t="e">
        <f>IF(K220,K232,IF(M220,M232,J227))</f>
        <v>#REF!</v>
      </c>
      <c r="N227" s="60"/>
      <c r="O227" s="60"/>
      <c r="P227" s="60" t="e">
        <f>IF(N220,N232,IF(P220,P232,M227))</f>
        <v>#REF!</v>
      </c>
      <c r="Q227" s="60"/>
      <c r="R227" s="60"/>
      <c r="S227" s="60" t="e">
        <f>IF(Q220,Q232,IF(S220,S232,P227))</f>
        <v>#REF!</v>
      </c>
      <c r="T227" s="60"/>
      <c r="U227" s="60"/>
      <c r="V227" s="60" t="e">
        <f>IF(T220,T232,IF(V220,V232,S227))</f>
        <v>#REF!</v>
      </c>
      <c r="W227" s="60"/>
      <c r="X227" s="60"/>
      <c r="Y227" s="60" t="e">
        <f>IF(W220,W232,IF(Y220,Y232,V227))</f>
        <v>#REF!</v>
      </c>
      <c r="Z227" s="60"/>
      <c r="AA227" s="60"/>
      <c r="AB227" s="60" t="e">
        <f>IF(Z220,Z232,IF(AB220,AB232,Y227))</f>
        <v>#REF!</v>
      </c>
      <c r="AC227" s="60"/>
      <c r="AD227" s="60"/>
      <c r="AE227" s="60" t="e">
        <f>IF(AC220,AC232,IF(AE220,AE232,AB227))</f>
        <v>#REF!</v>
      </c>
      <c r="AF227" s="4"/>
      <c r="AG227" s="4"/>
      <c r="AJ227" s="4"/>
      <c r="AL227" s="4"/>
      <c r="AM227" s="4"/>
      <c r="AN227" s="4"/>
      <c r="AO227" s="4"/>
      <c r="AT227" s="55" t="e">
        <f>B227</f>
        <v>#REF!</v>
      </c>
      <c r="AU227" s="55" t="e">
        <f>AE227</f>
        <v>#REF!</v>
      </c>
      <c r="AW227" s="59"/>
    </row>
    <row r="228" spans="1:49" s="55" customFormat="1" hidden="1" x14ac:dyDescent="0.25">
      <c r="A228" s="60">
        <v>5</v>
      </c>
      <c r="B228" s="60" t="e">
        <f>#REF!</f>
        <v>#REF!</v>
      </c>
      <c r="C228" s="60" t="e">
        <f>VLOOKUP(B228,AU$3:AW$33,3,FALSE)</f>
        <v>#REF!</v>
      </c>
      <c r="D228" s="60" t="e">
        <f>IF(B221,B232,IF(D221,D232,C228))</f>
        <v>#REF!</v>
      </c>
      <c r="E228" s="60"/>
      <c r="F228" s="60"/>
      <c r="G228" s="60" t="e">
        <f>IF(E221,E232,IF(G221,G232,D228))</f>
        <v>#REF!</v>
      </c>
      <c r="H228" s="60"/>
      <c r="I228" s="60"/>
      <c r="J228" s="60" t="e">
        <f>IF(H221,H232,IF(J221,J232,G228))</f>
        <v>#REF!</v>
      </c>
      <c r="K228" s="60"/>
      <c r="L228" s="60"/>
      <c r="M228" s="60" t="e">
        <f>IF(K221,K232,IF(M221,M232,J228))</f>
        <v>#REF!</v>
      </c>
      <c r="N228" s="60"/>
      <c r="O228" s="60"/>
      <c r="P228" s="60" t="e">
        <f>IF(N221,N232,IF(P221,P232,M228))</f>
        <v>#REF!</v>
      </c>
      <c r="Q228" s="60"/>
      <c r="R228" s="60"/>
      <c r="S228" s="60" t="e">
        <f>IF(Q221,Q232,IF(S221,S232,P228))</f>
        <v>#REF!</v>
      </c>
      <c r="T228" s="60"/>
      <c r="U228" s="60"/>
      <c r="V228" s="60" t="e">
        <f>IF(T221,T232,IF(V221,V232,S228))</f>
        <v>#REF!</v>
      </c>
      <c r="W228" s="60"/>
      <c r="X228" s="60"/>
      <c r="Y228" s="60" t="e">
        <f>IF(W221,W232,IF(Y221,Y232,V228))</f>
        <v>#REF!</v>
      </c>
      <c r="Z228" s="60"/>
      <c r="AA228" s="60"/>
      <c r="AB228" s="60" t="e">
        <f>IF(Z221,Z232,IF(AB221,AB232,Y228))</f>
        <v>#REF!</v>
      </c>
      <c r="AC228" s="60"/>
      <c r="AD228" s="60"/>
      <c r="AE228" s="60" t="e">
        <f>IF(AC221,AC232,IF(AE221,AE232,AB228))</f>
        <v>#REF!</v>
      </c>
      <c r="AF228" s="4"/>
      <c r="AG228" s="4"/>
      <c r="AJ228" s="4"/>
      <c r="AL228" s="4"/>
      <c r="AM228" s="4"/>
      <c r="AN228" s="4"/>
      <c r="AO228" s="4"/>
      <c r="AT228" s="55" t="e">
        <f>B228</f>
        <v>#REF!</v>
      </c>
      <c r="AU228" s="55" t="e">
        <f>AE228</f>
        <v>#REF!</v>
      </c>
      <c r="AW228" s="59"/>
    </row>
    <row r="229" spans="1:49" s="55" customFormat="1" hidden="1" x14ac:dyDescent="0.25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4"/>
      <c r="AG229" s="4"/>
      <c r="AJ229" s="4"/>
      <c r="AL229" s="4"/>
      <c r="AM229" s="4"/>
      <c r="AN229" s="4"/>
      <c r="AO229" s="4"/>
      <c r="AW229" s="59"/>
    </row>
    <row r="230" spans="1:49" s="55" customFormat="1" hidden="1" x14ac:dyDescent="0.25">
      <c r="A230" s="60" t="s">
        <v>96</v>
      </c>
      <c r="B230" s="60" t="e">
        <f>VLOOKUP(#REF!,$A224:$AE228,3,FALSE)</f>
        <v>#REF!</v>
      </c>
      <c r="C230" s="60">
        <v>1</v>
      </c>
      <c r="D230" s="60" t="e">
        <f>VLOOKUP(#REF!,$A224:$AE228,3,FALSE)</f>
        <v>#REF!</v>
      </c>
      <c r="E230" s="60" t="e">
        <f>VLOOKUP(#REF!,$A224:$AE228,4,FALSE)</f>
        <v>#REF!</v>
      </c>
      <c r="F230" s="60">
        <v>2</v>
      </c>
      <c r="G230" s="60" t="e">
        <f>VLOOKUP(#REF!,$A224:$AE228,4,FALSE)</f>
        <v>#REF!</v>
      </c>
      <c r="H230" s="60" t="e">
        <f>VLOOKUP(#REF!,$A224:$AE228,7,FALSE)</f>
        <v>#REF!</v>
      </c>
      <c r="I230" s="60">
        <v>3</v>
      </c>
      <c r="J230" s="60" t="e">
        <f>VLOOKUP(#REF!,$A224:$AE228,7,FALSE)</f>
        <v>#REF!</v>
      </c>
      <c r="K230" s="60" t="e">
        <f>VLOOKUP(#REF!,$A224:$AE228,10,FALSE)</f>
        <v>#REF!</v>
      </c>
      <c r="L230" s="60">
        <v>4</v>
      </c>
      <c r="M230" s="60" t="e">
        <f>VLOOKUP(#REF!,$A224:$AE228,10,FALSE)</f>
        <v>#REF!</v>
      </c>
      <c r="N230" s="60" t="e">
        <f>VLOOKUP(#REF!,$A224:$AE228,13,FALSE)</f>
        <v>#REF!</v>
      </c>
      <c r="O230" s="60">
        <v>5</v>
      </c>
      <c r="P230" s="60" t="e">
        <f>VLOOKUP(#REF!,$A224:$AE228,13,FALSE)</f>
        <v>#REF!</v>
      </c>
      <c r="Q230" s="60" t="e">
        <f>VLOOKUP(#REF!,$A224:$AE228,16,FALSE)</f>
        <v>#REF!</v>
      </c>
      <c r="R230" s="60">
        <v>6</v>
      </c>
      <c r="S230" s="60" t="e">
        <f>VLOOKUP(#REF!,$A224:$AE228,16,FALSE)</f>
        <v>#REF!</v>
      </c>
      <c r="T230" s="60" t="e">
        <f>VLOOKUP(#REF!,$A224:$AE228,19,FALSE)</f>
        <v>#REF!</v>
      </c>
      <c r="U230" s="60">
        <v>7</v>
      </c>
      <c r="V230" s="60" t="e">
        <f>VLOOKUP(#REF!,$A224:$AE228,19,FALSE)</f>
        <v>#REF!</v>
      </c>
      <c r="W230" s="60" t="e">
        <f>VLOOKUP(#REF!,$A224:$AE228,22,FALSE)</f>
        <v>#REF!</v>
      </c>
      <c r="X230" s="60">
        <v>8</v>
      </c>
      <c r="Y230" s="60" t="e">
        <f>VLOOKUP(#REF!,$A224:$AE228,22,FALSE)</f>
        <v>#REF!</v>
      </c>
      <c r="Z230" s="60" t="e">
        <f>VLOOKUP(#REF!,$A224:$AE228,25,FALSE)</f>
        <v>#REF!</v>
      </c>
      <c r="AA230" s="60">
        <v>9</v>
      </c>
      <c r="AB230" s="60" t="e">
        <f>VLOOKUP(#REF!,$A224:$AE228,25,FALSE)</f>
        <v>#REF!</v>
      </c>
      <c r="AC230" s="60" t="e">
        <f>VLOOKUP(#REF!,$A224:$AE228,28,FALSE)</f>
        <v>#REF!</v>
      </c>
      <c r="AD230" s="60">
        <v>10</v>
      </c>
      <c r="AE230" s="60" t="e">
        <f>VLOOKUP(#REF!,$A224:$AE228,28,FALSE)</f>
        <v>#REF!</v>
      </c>
      <c r="AF230" s="4"/>
      <c r="AG230" s="53"/>
      <c r="AH230" s="53"/>
      <c r="AI230" s="53"/>
      <c r="AJ230" s="53"/>
      <c r="AK230" s="53"/>
      <c r="AL230" s="53"/>
      <c r="AM230" s="53"/>
      <c r="AN230" s="54"/>
      <c r="AO230" s="54"/>
      <c r="AP230" s="54"/>
      <c r="AQ230" s="54"/>
      <c r="AW230" s="59"/>
    </row>
    <row r="231" spans="1:49" s="65" customFormat="1" hidden="1" x14ac:dyDescent="0.25">
      <c r="A231" s="61" t="s">
        <v>97</v>
      </c>
      <c r="B231" s="61" t="e">
        <f>1/(1+(10^-((B230-D230)/400)))*(B181+D181)</f>
        <v>#REF!</v>
      </c>
      <c r="C231" s="61"/>
      <c r="D231" s="61" t="e">
        <f>1/(1+(10^-((D230-B230)/400)))*(B181+D181)</f>
        <v>#REF!</v>
      </c>
      <c r="E231" s="61" t="e">
        <f>1/(1+(10^-((E230-G230)/400)))*(E181+G181)</f>
        <v>#REF!</v>
      </c>
      <c r="F231" s="61"/>
      <c r="G231" s="61" t="e">
        <f>1/(1+(10^-((G230-E230)/400)))*(E181+G181)</f>
        <v>#REF!</v>
      </c>
      <c r="H231" s="61" t="e">
        <f>1/(1+(10^-((H230-J230)/400)))*(H181+J181)</f>
        <v>#REF!</v>
      </c>
      <c r="I231" s="61"/>
      <c r="J231" s="61" t="e">
        <f>1/(1+(10^-((J230-H230)/400)))*(H181+J181)</f>
        <v>#REF!</v>
      </c>
      <c r="K231" s="61" t="e">
        <f>1/(1+(10^-((K230-M230)/400)))*(K181+M181)</f>
        <v>#REF!</v>
      </c>
      <c r="L231" s="61"/>
      <c r="M231" s="61" t="e">
        <f>1/(1+(10^-((M230-K230)/400)))*(K181+M181)</f>
        <v>#REF!</v>
      </c>
      <c r="N231" s="61" t="e">
        <f>1/(1+(10^-((N230-P230)/400)))*(N181+P181)</f>
        <v>#REF!</v>
      </c>
      <c r="O231" s="61"/>
      <c r="P231" s="61" t="e">
        <f>1/(1+(10^-((P230-N230)/400)))*(N181+P181)</f>
        <v>#REF!</v>
      </c>
      <c r="Q231" s="61" t="e">
        <f>1/(1+(10^-((Q230-S230)/400)))*(Q181+S181)</f>
        <v>#REF!</v>
      </c>
      <c r="R231" s="61"/>
      <c r="S231" s="61" t="e">
        <f>1/(1+(10^-((S230-Q230)/400)))*(Q181+S181)</f>
        <v>#REF!</v>
      </c>
      <c r="T231" s="61" t="e">
        <f>1/(1+(10^-((T230-V230)/400)))*(T181+V181)</f>
        <v>#REF!</v>
      </c>
      <c r="U231" s="61"/>
      <c r="V231" s="61" t="e">
        <f>1/(1+(10^-((V230-T230)/400)))*(T181+V181)</f>
        <v>#REF!</v>
      </c>
      <c r="W231" s="61" t="e">
        <f>1/(1+(10^-((W230-Y230)/400)))*(W181+Y181)</f>
        <v>#REF!</v>
      </c>
      <c r="X231" s="61"/>
      <c r="Y231" s="61" t="e">
        <f>1/(1+(10^-((Y230-W230)/400)))*(W181+Y181)</f>
        <v>#REF!</v>
      </c>
      <c r="Z231" s="61" t="e">
        <f>1/(1+(10^-((Z230-AB230)/400)))*(Z181+AB181)</f>
        <v>#REF!</v>
      </c>
      <c r="AA231" s="61"/>
      <c r="AB231" s="61" t="e">
        <f>1/(1+(10^-((AB230-Z230)/400)))*(Z181+AB181)</f>
        <v>#REF!</v>
      </c>
      <c r="AC231" s="61" t="e">
        <f>1/(1+(10^-((AC230-AE230)/400)))*(AC181+AE181)</f>
        <v>#REF!</v>
      </c>
      <c r="AD231" s="61"/>
      <c r="AE231" s="61" t="e">
        <f>1/(1+(10^-((AE230-AC230)/400)))*(AC181+AE181)</f>
        <v>#REF!</v>
      </c>
      <c r="AF231" s="62"/>
      <c r="AG231" s="63"/>
      <c r="AH231" s="63"/>
      <c r="AI231" s="63"/>
      <c r="AJ231" s="63"/>
      <c r="AK231" s="63"/>
      <c r="AL231" s="63"/>
      <c r="AM231" s="63"/>
      <c r="AN231" s="64"/>
      <c r="AO231" s="64"/>
      <c r="AP231" s="64"/>
      <c r="AQ231" s="64"/>
      <c r="AW231" s="66"/>
    </row>
    <row r="232" spans="1:49" s="71" customFormat="1" hidden="1" x14ac:dyDescent="0.25">
      <c r="A232" s="67" t="s">
        <v>98</v>
      </c>
      <c r="B232" s="67" t="e">
        <f>B230+(B181-B231)*$BA$1</f>
        <v>#REF!</v>
      </c>
      <c r="C232" s="67"/>
      <c r="D232" s="67" t="e">
        <f>D230+(D181-D231)*$BA$1</f>
        <v>#REF!</v>
      </c>
      <c r="E232" s="67" t="e">
        <f>E230+(E181-E231)*$BA$1</f>
        <v>#REF!</v>
      </c>
      <c r="F232" s="67"/>
      <c r="G232" s="67" t="e">
        <f>G230+(G181-G231)*$BA$1</f>
        <v>#REF!</v>
      </c>
      <c r="H232" s="67" t="e">
        <f>H230+(H181-H231)*$BA$1</f>
        <v>#REF!</v>
      </c>
      <c r="I232" s="67"/>
      <c r="J232" s="67" t="e">
        <f>J230+(J181-J231)*$BA$1</f>
        <v>#REF!</v>
      </c>
      <c r="K232" s="67" t="e">
        <f>K230+(K181-K231)*$BA$1</f>
        <v>#REF!</v>
      </c>
      <c r="L232" s="67"/>
      <c r="M232" s="67" t="e">
        <f>M230+(M181-M231)*$BA$1</f>
        <v>#REF!</v>
      </c>
      <c r="N232" s="67" t="e">
        <f>N230+(N181-N231)*$BA$1</f>
        <v>#REF!</v>
      </c>
      <c r="O232" s="67"/>
      <c r="P232" s="67" t="e">
        <f>P230+(P181-P231)*$BA$1</f>
        <v>#REF!</v>
      </c>
      <c r="Q232" s="67" t="e">
        <f>Q230+(Q181-Q231)*$BA$1</f>
        <v>#REF!</v>
      </c>
      <c r="R232" s="67"/>
      <c r="S232" s="67" t="e">
        <f>S230+(S181-S231)*$BA$1</f>
        <v>#REF!</v>
      </c>
      <c r="T232" s="67" t="e">
        <f>T230+(T181-T231)*$BA$1</f>
        <v>#REF!</v>
      </c>
      <c r="U232" s="67"/>
      <c r="V232" s="67" t="e">
        <f>V230+(V181-V231)*$BA$1</f>
        <v>#REF!</v>
      </c>
      <c r="W232" s="67" t="e">
        <f>W230+(W181-W231)*$BA$1</f>
        <v>#REF!</v>
      </c>
      <c r="X232" s="67"/>
      <c r="Y232" s="67" t="e">
        <f>Y230+(Y181-Y231)*$BA$1</f>
        <v>#REF!</v>
      </c>
      <c r="Z232" s="67" t="e">
        <f>Z230+(Z181-Z231)*$BA$1</f>
        <v>#REF!</v>
      </c>
      <c r="AA232" s="67"/>
      <c r="AB232" s="67" t="e">
        <f>AB230+(AB181-AB231)*$BA$1</f>
        <v>#REF!</v>
      </c>
      <c r="AC232" s="67" t="e">
        <f>AC230+(AC181-AC231)*$BA$1</f>
        <v>#REF!</v>
      </c>
      <c r="AD232" s="67"/>
      <c r="AE232" s="67" t="e">
        <f>AE230+(AE181-AE231)*$BA$1</f>
        <v>#REF!</v>
      </c>
      <c r="AF232" s="68"/>
      <c r="AG232" s="69"/>
      <c r="AH232" s="69"/>
      <c r="AI232" s="69"/>
      <c r="AJ232" s="69"/>
      <c r="AK232" s="69"/>
      <c r="AL232" s="69"/>
      <c r="AM232" s="69"/>
      <c r="AN232" s="70"/>
      <c r="AO232" s="70"/>
      <c r="AP232" s="70"/>
      <c r="AQ232" s="70"/>
      <c r="AW232" s="72"/>
    </row>
    <row r="233" spans="1:49" s="71" customFormat="1" hidden="1" x14ac:dyDescent="0.25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8"/>
      <c r="AG233" s="69"/>
      <c r="AH233" s="69"/>
      <c r="AI233" s="69"/>
      <c r="AJ233" s="69"/>
      <c r="AK233" s="69"/>
      <c r="AL233" s="69"/>
      <c r="AM233" s="69"/>
      <c r="AN233" s="70"/>
      <c r="AO233" s="70"/>
      <c r="AP233" s="70"/>
      <c r="AQ233" s="70"/>
      <c r="AT233" s="72"/>
    </row>
    <row r="234" spans="1:49" s="55" customFormat="1" x14ac:dyDescent="0.25">
      <c r="A234" s="151" t="e">
        <f>IF(#REF!=1,"Pool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#REF!</v>
      </c>
      <c r="B234" s="151"/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  <c r="R234" s="151"/>
      <c r="S234" s="151"/>
      <c r="T234" s="151"/>
      <c r="U234" s="151"/>
      <c r="V234" s="151"/>
      <c r="W234" s="151"/>
      <c r="X234" s="151"/>
      <c r="Y234" s="151"/>
      <c r="Z234" s="151"/>
      <c r="AA234" s="151"/>
      <c r="AB234" s="151"/>
      <c r="AC234" s="151"/>
      <c r="AD234" s="151"/>
      <c r="AE234" s="151"/>
      <c r="AF234" s="151"/>
      <c r="AG234" s="151"/>
      <c r="AH234" s="151"/>
      <c r="AI234" s="151"/>
      <c r="AJ234" s="151"/>
      <c r="AK234" s="151"/>
      <c r="AL234" s="151"/>
      <c r="AM234" s="151"/>
      <c r="AN234" s="152"/>
      <c r="AO234" s="152"/>
      <c r="AP234" s="152"/>
      <c r="AQ234" s="152"/>
    </row>
    <row r="235" spans="1:49" s="55" customFormat="1" x14ac:dyDescent="0.25">
      <c r="A235" s="153"/>
      <c r="B235" s="153"/>
      <c r="C235" s="153"/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  <c r="N235" s="153"/>
      <c r="O235" s="153"/>
      <c r="P235" s="153"/>
      <c r="Q235" s="153"/>
      <c r="R235" s="153"/>
      <c r="S235" s="153"/>
      <c r="T235" s="153"/>
      <c r="U235" s="153"/>
      <c r="V235" s="153"/>
      <c r="W235" s="153"/>
      <c r="X235" s="153"/>
      <c r="Y235" s="153"/>
      <c r="Z235" s="153"/>
      <c r="AA235" s="153"/>
      <c r="AB235" s="153"/>
      <c r="AC235" s="153"/>
      <c r="AD235" s="153"/>
      <c r="AE235" s="153"/>
      <c r="AF235" s="153"/>
      <c r="AG235" s="153"/>
      <c r="AH235" s="153"/>
      <c r="AI235" s="153"/>
      <c r="AJ235" s="153"/>
      <c r="AK235" s="153"/>
      <c r="AL235" s="153"/>
      <c r="AM235" s="153"/>
      <c r="AN235" s="153"/>
      <c r="AO235" s="153"/>
      <c r="AP235" s="153"/>
      <c r="AQ235" s="153"/>
    </row>
  </sheetData>
  <sheetProtection formatCells="0" selectLockedCells="1"/>
  <mergeCells count="287">
    <mergeCell ref="A1:AI1"/>
    <mergeCell ref="AT1:AV1"/>
    <mergeCell ref="A2:I2"/>
    <mergeCell ref="J2:X2"/>
    <mergeCell ref="Y2:AC2"/>
    <mergeCell ref="AD2:AI2"/>
    <mergeCell ref="A4:D4"/>
    <mergeCell ref="E4:M4"/>
    <mergeCell ref="N4:Q4"/>
    <mergeCell ref="R4:AA4"/>
    <mergeCell ref="AB4:AE4"/>
    <mergeCell ref="AF4:AI4"/>
    <mergeCell ref="B3:O3"/>
    <mergeCell ref="P3:R3"/>
    <mergeCell ref="S3:X3"/>
    <mergeCell ref="Y3:AD3"/>
    <mergeCell ref="AE3:AF3"/>
    <mergeCell ref="AG3:AI3"/>
    <mergeCell ref="A8:A9"/>
    <mergeCell ref="B8:D8"/>
    <mergeCell ref="E8:K8"/>
    <mergeCell ref="L8:P9"/>
    <mergeCell ref="R8:V9"/>
    <mergeCell ref="W8:Y9"/>
    <mergeCell ref="Z8:AB9"/>
    <mergeCell ref="B5:J5"/>
    <mergeCell ref="K5:AE5"/>
    <mergeCell ref="C6:H6"/>
    <mergeCell ref="I6:J6"/>
    <mergeCell ref="K6:AI6"/>
    <mergeCell ref="B7:K7"/>
    <mergeCell ref="L7:P7"/>
    <mergeCell ref="Q7:Q17"/>
    <mergeCell ref="R7:V7"/>
    <mergeCell ref="W7:Y7"/>
    <mergeCell ref="AC8:AE9"/>
    <mergeCell ref="AF8:AF9"/>
    <mergeCell ref="AG8:AG9"/>
    <mergeCell ref="AH8:AI9"/>
    <mergeCell ref="B9:D9"/>
    <mergeCell ref="E9:K9"/>
    <mergeCell ref="Z7:AB7"/>
    <mergeCell ref="AC7:AE7"/>
    <mergeCell ref="AH7:AI7"/>
    <mergeCell ref="Z10:AB11"/>
    <mergeCell ref="AC10:AE11"/>
    <mergeCell ref="AF10:AF11"/>
    <mergeCell ref="AG10:AG11"/>
    <mergeCell ref="AH10:AI11"/>
    <mergeCell ref="B11:D11"/>
    <mergeCell ref="E11:K11"/>
    <mergeCell ref="A10:A11"/>
    <mergeCell ref="B10:D10"/>
    <mergeCell ref="E10:K10"/>
    <mergeCell ref="L10:P11"/>
    <mergeCell ref="R10:V11"/>
    <mergeCell ref="W10:Y11"/>
    <mergeCell ref="Z12:AB13"/>
    <mergeCell ref="AC12:AE13"/>
    <mergeCell ref="AF12:AF13"/>
    <mergeCell ref="AG12:AG13"/>
    <mergeCell ref="AH12:AI13"/>
    <mergeCell ref="B13:D13"/>
    <mergeCell ref="E13:K13"/>
    <mergeCell ref="A12:A13"/>
    <mergeCell ref="B12:D12"/>
    <mergeCell ref="E12:K12"/>
    <mergeCell ref="L12:P13"/>
    <mergeCell ref="R12:V13"/>
    <mergeCell ref="W12:Y13"/>
    <mergeCell ref="Z14:AB15"/>
    <mergeCell ref="AC14:AE15"/>
    <mergeCell ref="AF14:AF15"/>
    <mergeCell ref="AG14:AG15"/>
    <mergeCell ref="AH14:AI15"/>
    <mergeCell ref="B15:D15"/>
    <mergeCell ref="E15:K15"/>
    <mergeCell ref="A14:A15"/>
    <mergeCell ref="B14:D14"/>
    <mergeCell ref="E14:K14"/>
    <mergeCell ref="L14:P15"/>
    <mergeCell ref="R14:V15"/>
    <mergeCell ref="W14:Y15"/>
    <mergeCell ref="Z16:AB17"/>
    <mergeCell ref="AC16:AE17"/>
    <mergeCell ref="AF16:AF17"/>
    <mergeCell ref="AG16:AG17"/>
    <mergeCell ref="AH16:AI17"/>
    <mergeCell ref="B17:D17"/>
    <mergeCell ref="E17:K17"/>
    <mergeCell ref="A16:A17"/>
    <mergeCell ref="B16:D16"/>
    <mergeCell ref="E16:K16"/>
    <mergeCell ref="L16:P17"/>
    <mergeCell ref="R16:V17"/>
    <mergeCell ref="W16:Y17"/>
    <mergeCell ref="B18:AI18"/>
    <mergeCell ref="B19:D19"/>
    <mergeCell ref="E19:G19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Q22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B21:D21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B22:D22"/>
    <mergeCell ref="E22:G22"/>
    <mergeCell ref="H22:J22"/>
    <mergeCell ref="K22:M22"/>
    <mergeCell ref="N22:P22"/>
    <mergeCell ref="Q22:S22"/>
    <mergeCell ref="T22:V22"/>
    <mergeCell ref="W22:Y22"/>
    <mergeCell ref="Z23:AB23"/>
    <mergeCell ref="AC23:AE23"/>
    <mergeCell ref="AG57:AK57"/>
    <mergeCell ref="A89:AM89"/>
    <mergeCell ref="AN89:AQ89"/>
    <mergeCell ref="A90:AQ90"/>
    <mergeCell ref="Z22:AB22"/>
    <mergeCell ref="AC22:AE22"/>
    <mergeCell ref="B23:D23"/>
    <mergeCell ref="E23:G23"/>
    <mergeCell ref="H23:J23"/>
    <mergeCell ref="K23:M23"/>
    <mergeCell ref="N23:P23"/>
    <mergeCell ref="Q23:S23"/>
    <mergeCell ref="T23:V23"/>
    <mergeCell ref="W23:Y23"/>
    <mergeCell ref="C91:H91"/>
    <mergeCell ref="I91:J91"/>
    <mergeCell ref="K91:AI91"/>
    <mergeCell ref="B92:K92"/>
    <mergeCell ref="L92:P92"/>
    <mergeCell ref="Q92:Q102"/>
    <mergeCell ref="R92:V92"/>
    <mergeCell ref="W92:Y92"/>
    <mergeCell ref="Z92:AB92"/>
    <mergeCell ref="AC92:AE92"/>
    <mergeCell ref="A95:A96"/>
    <mergeCell ref="B95:D95"/>
    <mergeCell ref="E95:K95"/>
    <mergeCell ref="L95:P96"/>
    <mergeCell ref="R95:V96"/>
    <mergeCell ref="W95:Y96"/>
    <mergeCell ref="AH92:AI92"/>
    <mergeCell ref="A93:A94"/>
    <mergeCell ref="B93:D93"/>
    <mergeCell ref="E93:K93"/>
    <mergeCell ref="L93:P94"/>
    <mergeCell ref="R93:V94"/>
    <mergeCell ref="W93:Y94"/>
    <mergeCell ref="Z93:AB94"/>
    <mergeCell ref="AC93:AE94"/>
    <mergeCell ref="AF93:AF94"/>
    <mergeCell ref="Z95:AB96"/>
    <mergeCell ref="AC95:AE96"/>
    <mergeCell ref="AF95:AF96"/>
    <mergeCell ref="AG95:AG96"/>
    <mergeCell ref="AH95:AI96"/>
    <mergeCell ref="B96:D96"/>
    <mergeCell ref="E96:K96"/>
    <mergeCell ref="AG93:AG94"/>
    <mergeCell ref="AH93:AI94"/>
    <mergeCell ref="B94:D94"/>
    <mergeCell ref="E94:K94"/>
    <mergeCell ref="Z97:AB98"/>
    <mergeCell ref="AC97:AE98"/>
    <mergeCell ref="AF97:AF98"/>
    <mergeCell ref="AG97:AG98"/>
    <mergeCell ref="AH97:AI98"/>
    <mergeCell ref="B98:D98"/>
    <mergeCell ref="E98:K98"/>
    <mergeCell ref="A97:A98"/>
    <mergeCell ref="B97:D97"/>
    <mergeCell ref="E97:K97"/>
    <mergeCell ref="L97:P98"/>
    <mergeCell ref="R97:V98"/>
    <mergeCell ref="W97:Y98"/>
    <mergeCell ref="Z99:AB100"/>
    <mergeCell ref="AC99:AE100"/>
    <mergeCell ref="AF99:AF100"/>
    <mergeCell ref="AG99:AG100"/>
    <mergeCell ref="AH99:AI100"/>
    <mergeCell ref="B100:D100"/>
    <mergeCell ref="E100:K100"/>
    <mergeCell ref="A99:A100"/>
    <mergeCell ref="B99:D99"/>
    <mergeCell ref="E99:K99"/>
    <mergeCell ref="L99:P100"/>
    <mergeCell ref="R99:V100"/>
    <mergeCell ref="W99:Y100"/>
    <mergeCell ref="Z101:AB102"/>
    <mergeCell ref="AC101:AE102"/>
    <mergeCell ref="AF101:AF102"/>
    <mergeCell ref="AG101:AG102"/>
    <mergeCell ref="AH101:AI102"/>
    <mergeCell ref="B102:D102"/>
    <mergeCell ref="E102:K102"/>
    <mergeCell ref="A101:A102"/>
    <mergeCell ref="B101:D101"/>
    <mergeCell ref="E101:K101"/>
    <mergeCell ref="L101:P102"/>
    <mergeCell ref="R101:V102"/>
    <mergeCell ref="W101:Y102"/>
    <mergeCell ref="B103:AI103"/>
    <mergeCell ref="B104:D104"/>
    <mergeCell ref="E104:G104"/>
    <mergeCell ref="H104:J104"/>
    <mergeCell ref="K104:M104"/>
    <mergeCell ref="N104:P104"/>
    <mergeCell ref="Q104:S104"/>
    <mergeCell ref="T104:V104"/>
    <mergeCell ref="W104:Y104"/>
    <mergeCell ref="Z104:AB104"/>
    <mergeCell ref="AC104:AE104"/>
    <mergeCell ref="AF104:AQ107"/>
    <mergeCell ref="B105:D105"/>
    <mergeCell ref="E105:G105"/>
    <mergeCell ref="H105:J105"/>
    <mergeCell ref="K105:M105"/>
    <mergeCell ref="N105:P105"/>
    <mergeCell ref="Q105:S105"/>
    <mergeCell ref="T105:V105"/>
    <mergeCell ref="W105:Y105"/>
    <mergeCell ref="Z105:AB105"/>
    <mergeCell ref="AC105:AE105"/>
    <mergeCell ref="B106:D106"/>
    <mergeCell ref="E106:G106"/>
    <mergeCell ref="H106:J106"/>
    <mergeCell ref="K106:M106"/>
    <mergeCell ref="N106:P106"/>
    <mergeCell ref="Q106:S106"/>
    <mergeCell ref="T106:V106"/>
    <mergeCell ref="W106:Y106"/>
    <mergeCell ref="Z106:AB106"/>
    <mergeCell ref="AC106:AE106"/>
    <mergeCell ref="B107:D107"/>
    <mergeCell ref="E107:G107"/>
    <mergeCell ref="H107:J107"/>
    <mergeCell ref="K107:M107"/>
    <mergeCell ref="N107:P107"/>
    <mergeCell ref="Q107:S107"/>
    <mergeCell ref="T107:V107"/>
    <mergeCell ref="W107:Y107"/>
    <mergeCell ref="Z108:AB108"/>
    <mergeCell ref="AC108:AE108"/>
    <mergeCell ref="AG142:AK142"/>
    <mergeCell ref="A174:AM174"/>
    <mergeCell ref="AN174:AQ174"/>
    <mergeCell ref="Z107:AB107"/>
    <mergeCell ref="AC107:AE107"/>
    <mergeCell ref="B108:D108"/>
    <mergeCell ref="E108:G108"/>
    <mergeCell ref="H108:J108"/>
    <mergeCell ref="K108:M108"/>
    <mergeCell ref="N108:P108"/>
    <mergeCell ref="Q108:S108"/>
    <mergeCell ref="T108:V108"/>
    <mergeCell ref="W108:Y108"/>
    <mergeCell ref="AG202:AK202"/>
    <mergeCell ref="A234:AM234"/>
    <mergeCell ref="AN234:AQ234"/>
    <mergeCell ref="A235:AQ235"/>
  </mergeCells>
  <conditionalFormatting sqref="A93 A8">
    <cfRule type="expression" dxfId="2806" priority="540" stopIfTrue="1">
      <formula>IF(AK9&gt;0,0,1)</formula>
    </cfRule>
  </conditionalFormatting>
  <conditionalFormatting sqref="A95:A96 A10:A11">
    <cfRule type="expression" dxfId="2805" priority="539" stopIfTrue="1">
      <formula>IF(AK9&gt;1,0,1)</formula>
    </cfRule>
  </conditionalFormatting>
  <conditionalFormatting sqref="A97:A98 A12:A13">
    <cfRule type="expression" dxfId="2804" priority="538" stopIfTrue="1">
      <formula>IF(AK9&gt;2,0,1)</formula>
    </cfRule>
  </conditionalFormatting>
  <conditionalFormatting sqref="A99:A100 A14:A15">
    <cfRule type="expression" dxfId="2803" priority="537" stopIfTrue="1">
      <formula>IF(AK9&gt;3,0,1)</formula>
    </cfRule>
  </conditionalFormatting>
  <conditionalFormatting sqref="A101:A102 A16:A17">
    <cfRule type="expression" dxfId="2802" priority="536" stopIfTrue="1">
      <formula>IF(AK9&gt;4,0,1)</formula>
    </cfRule>
  </conditionalFormatting>
  <conditionalFormatting sqref="B8 B93">
    <cfRule type="expression" dxfId="2801" priority="535" stopIfTrue="1">
      <formula>IF(AK9&gt;0,0,1)</formula>
    </cfRule>
  </conditionalFormatting>
  <conditionalFormatting sqref="B9 B94">
    <cfRule type="expression" dxfId="2800" priority="534" stopIfTrue="1">
      <formula>IF(AK9&gt;0,0,1)</formula>
    </cfRule>
  </conditionalFormatting>
  <conditionalFormatting sqref="B10 B95">
    <cfRule type="expression" dxfId="2799" priority="533" stopIfTrue="1">
      <formula>IF(AK9&gt;1,0,1)</formula>
    </cfRule>
  </conditionalFormatting>
  <conditionalFormatting sqref="B11:D11 B96:D96">
    <cfRule type="expression" dxfId="2798" priority="532" stopIfTrue="1">
      <formula>IF(AK9&gt;1,0,1)</formula>
    </cfRule>
  </conditionalFormatting>
  <conditionalFormatting sqref="B12:D12 B97:D97">
    <cfRule type="expression" dxfId="2797" priority="531" stopIfTrue="1">
      <formula>IF(AK9&gt;2,0,1)</formula>
    </cfRule>
  </conditionalFormatting>
  <conditionalFormatting sqref="B13:D13 B98:D98">
    <cfRule type="expression" dxfId="2796" priority="530" stopIfTrue="1">
      <formula>IF(AK9&gt;2,0,1)</formula>
    </cfRule>
  </conditionalFormatting>
  <conditionalFormatting sqref="B14:D14 B99:D99">
    <cfRule type="expression" dxfId="2795" priority="529" stopIfTrue="1">
      <formula>IF(AK9&gt;3,0,1)</formula>
    </cfRule>
  </conditionalFormatting>
  <conditionalFormatting sqref="B15:D15 B100:D100">
    <cfRule type="expression" dxfId="2794" priority="528" stopIfTrue="1">
      <formula>IF(AK9&gt;3,0,1)</formula>
    </cfRule>
  </conditionalFormatting>
  <conditionalFormatting sqref="B16:D16 B101:D101">
    <cfRule type="expression" dxfId="2793" priority="527" stopIfTrue="1">
      <formula>IF(AK9&gt;4,0,1)</formula>
    </cfRule>
  </conditionalFormatting>
  <conditionalFormatting sqref="B17:D17 B102:D102">
    <cfRule type="expression" dxfId="2792" priority="526" stopIfTrue="1">
      <formula>IF(AK9&gt;4,0,1)</formula>
    </cfRule>
  </conditionalFormatting>
  <conditionalFormatting sqref="E99">
    <cfRule type="expression" dxfId="2791" priority="519" stopIfTrue="1">
      <formula>IF(AK94&gt;3,0,1)</formula>
    </cfRule>
  </conditionalFormatting>
  <conditionalFormatting sqref="E100">
    <cfRule type="expression" dxfId="2790" priority="518" stopIfTrue="1">
      <formula>IF(AK94&gt;3,0,1)</formula>
    </cfRule>
  </conditionalFormatting>
  <conditionalFormatting sqref="E16 E101">
    <cfRule type="expression" dxfId="2789" priority="517" stopIfTrue="1">
      <formula>IF(AK9&gt;4,0,1)</formula>
    </cfRule>
  </conditionalFormatting>
  <conditionalFormatting sqref="E17 E102">
    <cfRule type="expression" dxfId="2788" priority="516" stopIfTrue="1">
      <formula>IF(AK9&gt;4,0,1)</formula>
    </cfRule>
  </conditionalFormatting>
  <conditionalFormatting sqref="AC93 AC8">
    <cfRule type="expression" dxfId="2787" priority="515" stopIfTrue="1">
      <formula>IF(AK11=1,IF(AK9&gt;0,0,1),1)</formula>
    </cfRule>
  </conditionalFormatting>
  <conditionalFormatting sqref="AC95:AE96 AC10:AE11">
    <cfRule type="expression" dxfId="2786" priority="514" stopIfTrue="1">
      <formula>IF(AK11=1,IF(AK9&gt;1,0,1),1)</formula>
    </cfRule>
  </conditionalFormatting>
  <conditionalFormatting sqref="AC97:AE98 AC12:AE13">
    <cfRule type="expression" dxfId="2785" priority="513" stopIfTrue="1">
      <formula>IF(AK11=1,IF(AK9&gt;2,0,1),1)</formula>
    </cfRule>
  </conditionalFormatting>
  <conditionalFormatting sqref="AC99:AE100 AC14:AE15">
    <cfRule type="expression" dxfId="2784" priority="512" stopIfTrue="1">
      <formula>IF(AK11=1,IF(AK9&gt;3,0,1),1)</formula>
    </cfRule>
  </conditionalFormatting>
  <conditionalFormatting sqref="AC101:AE102 AC16:AE17">
    <cfRule type="expression" dxfId="2783" priority="511" stopIfTrue="1">
      <formula>IF(AK11=1,IF(AK9&gt;4,0,1),1)</formula>
    </cfRule>
  </conditionalFormatting>
  <conditionalFormatting sqref="AH93 AH8">
    <cfRule type="expression" dxfId="2782" priority="510" stopIfTrue="1">
      <formula>IF(AK9&gt;0,0,1)</formula>
    </cfRule>
  </conditionalFormatting>
  <conditionalFormatting sqref="AH95:AI96 AH10:AI11">
    <cfRule type="expression" dxfId="2781" priority="509" stopIfTrue="1">
      <formula>IF(AK9&gt;1,0,1)</formula>
    </cfRule>
  </conditionalFormatting>
  <conditionalFormatting sqref="AH97:AI98 AH12:AI13">
    <cfRule type="expression" dxfId="2780" priority="508" stopIfTrue="1">
      <formula>IF(AK9&gt;2,0,1)</formula>
    </cfRule>
  </conditionalFormatting>
  <conditionalFormatting sqref="AH99:AI100 AH14:AI15">
    <cfRule type="expression" dxfId="2779" priority="507" stopIfTrue="1">
      <formula>IF(AK9&gt;3,0,1)</formula>
    </cfRule>
  </conditionalFormatting>
  <conditionalFormatting sqref="AH101:AI102 AH16:AI17">
    <cfRule type="expression" dxfId="2778" priority="506" stopIfTrue="1">
      <formula>IF(AK9&gt;4,0,1)</formula>
    </cfRule>
  </conditionalFormatting>
  <conditionalFormatting sqref="K19:M19 K104:M104">
    <cfRule type="expression" dxfId="2777" priority="505" stopIfTrue="1">
      <formula>IF(AK8&gt;3,0,1)</formula>
    </cfRule>
  </conditionalFormatting>
  <conditionalFormatting sqref="N19:P19 N104:P104">
    <cfRule type="expression" dxfId="2776" priority="504" stopIfTrue="1">
      <formula>IF(AK8&gt;4,0,1)</formula>
    </cfRule>
  </conditionalFormatting>
  <conditionalFormatting sqref="Q19:S19 Q104:S104">
    <cfRule type="expression" dxfId="2775" priority="503" stopIfTrue="1">
      <formula>IF(AK8&gt;5,0,1)</formula>
    </cfRule>
  </conditionalFormatting>
  <conditionalFormatting sqref="T19:V19 T104:V104">
    <cfRule type="expression" dxfId="2774" priority="502" stopIfTrue="1">
      <formula>IF(AK8&gt;6,0,1)</formula>
    </cfRule>
  </conditionalFormatting>
  <conditionalFormatting sqref="W19:Y19 W104:Y104">
    <cfRule type="expression" dxfId="2773" priority="501" stopIfTrue="1">
      <formula>IF(AK8&gt;7,0,1)</formula>
    </cfRule>
  </conditionalFormatting>
  <conditionalFormatting sqref="Z19:AB19 Z104:AB104">
    <cfRule type="expression" dxfId="2772" priority="500" stopIfTrue="1">
      <formula>IF(AK8&gt;8,0,1)</formula>
    </cfRule>
  </conditionalFormatting>
  <conditionalFormatting sqref="AC19:AE19 AC104:AE104">
    <cfRule type="expression" dxfId="2771" priority="499" stopIfTrue="1">
      <formula>IF(AK8&gt;9,0,1)</formula>
    </cfRule>
  </conditionalFormatting>
  <conditionalFormatting sqref="B20:D20 B105:D105">
    <cfRule type="expression" dxfId="2770" priority="498" stopIfTrue="1">
      <formula>IF(AK8&gt;0,0,1)</formula>
    </cfRule>
  </conditionalFormatting>
  <conditionalFormatting sqref="E20:G20 E105:G105">
    <cfRule type="expression" dxfId="2769" priority="497" stopIfTrue="1">
      <formula>IF(AK8&gt;1,0,1)</formula>
    </cfRule>
  </conditionalFormatting>
  <conditionalFormatting sqref="H20:J20 H105:J105">
    <cfRule type="expression" dxfId="2768" priority="496" stopIfTrue="1">
      <formula>IF(AK8&gt;2,0,1)</formula>
    </cfRule>
  </conditionalFormatting>
  <conditionalFormatting sqref="K105:M105 K20:M20">
    <cfRule type="expression" dxfId="2767" priority="495" stopIfTrue="1">
      <formula>IF(AK8&gt;3,0,1)</formula>
    </cfRule>
  </conditionalFormatting>
  <conditionalFormatting sqref="N105:P105 N20:P20">
    <cfRule type="expression" dxfId="2766" priority="494" stopIfTrue="1">
      <formula>IF(AK8&gt;4,0,1)</formula>
    </cfRule>
  </conditionalFormatting>
  <conditionalFormatting sqref="Q105:S105 Q20:S20">
    <cfRule type="expression" dxfId="2765" priority="493" stopIfTrue="1">
      <formula>IF(AK8&gt;5,0,1)</formula>
    </cfRule>
  </conditionalFormatting>
  <conditionalFormatting sqref="T105:V105 T20:V20">
    <cfRule type="expression" dxfId="2764" priority="492" stopIfTrue="1">
      <formula>IF(AK8&gt;6,0,1)</formula>
    </cfRule>
  </conditionalFormatting>
  <conditionalFormatting sqref="W105:Y105 W20:Y20">
    <cfRule type="expression" dxfId="2763" priority="491" stopIfTrue="1">
      <formula>IF(AK8&gt;7,0,1)</formula>
    </cfRule>
  </conditionalFormatting>
  <conditionalFormatting sqref="Z105:AB105 Z20:AB20">
    <cfRule type="expression" dxfId="2762" priority="490" stopIfTrue="1">
      <formula>IF(AK8&gt;8,0,1)</formula>
    </cfRule>
  </conditionalFormatting>
  <conditionalFormatting sqref="AC105:AE105 AC20:AE20">
    <cfRule type="expression" dxfId="2761" priority="489" stopIfTrue="1">
      <formula>IF(AK8&gt;9,0,1)</formula>
    </cfRule>
  </conditionalFormatting>
  <conditionalFormatting sqref="T22:V22 T107:V107">
    <cfRule type="expression" dxfId="2760" priority="483" stopIfTrue="1">
      <formula>IF(AK8&gt;6,0,1)</formula>
    </cfRule>
  </conditionalFormatting>
  <conditionalFormatting sqref="W22:Y22 W107:Y107">
    <cfRule type="expression" dxfId="2759" priority="482" stopIfTrue="1">
      <formula>IF(AK8&gt;7,0,1)</formula>
    </cfRule>
  </conditionalFormatting>
  <conditionalFormatting sqref="Z22:AB22 Z107:AB107">
    <cfRule type="expression" dxfId="2758" priority="481" stopIfTrue="1">
      <formula>IF(AK8&gt;8,0,1)</formula>
    </cfRule>
  </conditionalFormatting>
  <conditionalFormatting sqref="AC22:AE22 AC107:AE107">
    <cfRule type="expression" dxfId="2757" priority="480" stopIfTrue="1">
      <formula>IF(AK8&gt;9,0,1)</formula>
    </cfRule>
  </conditionalFormatting>
  <conditionalFormatting sqref="T108:V108 T23:V23">
    <cfRule type="expression" dxfId="2756" priority="461" stopIfTrue="1">
      <formula>IF(AK8&gt;6,0,1)</formula>
    </cfRule>
  </conditionalFormatting>
  <conditionalFormatting sqref="U24 U109">
    <cfRule type="expression" dxfId="2755" priority="460" stopIfTrue="1">
      <formula>IF(AK8&gt;6,0,1)</formula>
    </cfRule>
  </conditionalFormatting>
  <conditionalFormatting sqref="V24 V109">
    <cfRule type="expression" dxfId="2754" priority="459" stopIfTrue="1">
      <formula>IF(AK8&gt;6,0,1)</formula>
    </cfRule>
  </conditionalFormatting>
  <conditionalFormatting sqref="W108:Y108 W23:Y23">
    <cfRule type="expression" dxfId="2753" priority="458" stopIfTrue="1">
      <formula>IF(AK8&gt;7,0,1)</formula>
    </cfRule>
  </conditionalFormatting>
  <conditionalFormatting sqref="X24 X109">
    <cfRule type="expression" dxfId="2752" priority="457" stopIfTrue="1">
      <formula>IF(AK8&gt;7,0,1)</formula>
    </cfRule>
  </conditionalFormatting>
  <conditionalFormatting sqref="Y24 Y109">
    <cfRule type="expression" dxfId="2751" priority="456" stopIfTrue="1">
      <formula>IF(AK8&gt;7,0,1)</formula>
    </cfRule>
  </conditionalFormatting>
  <conditionalFormatting sqref="Z108:AB108 Z23:AB23">
    <cfRule type="expression" dxfId="2750" priority="455" stopIfTrue="1">
      <formula>IF(AK8&gt;8,0,1)</formula>
    </cfRule>
  </conditionalFormatting>
  <conditionalFormatting sqref="AA24 AA109">
    <cfRule type="expression" dxfId="2749" priority="454" stopIfTrue="1">
      <formula>IF(AK8&gt;8,0,1)</formula>
    </cfRule>
  </conditionalFormatting>
  <conditionalFormatting sqref="AB24 AB109">
    <cfRule type="expression" dxfId="2748" priority="453" stopIfTrue="1">
      <formula>IF(AK8&gt;8,0,1)</formula>
    </cfRule>
  </conditionalFormatting>
  <conditionalFormatting sqref="AC108:AE108 AC23:AE23">
    <cfRule type="expression" dxfId="2747" priority="452" stopIfTrue="1">
      <formula>IF(AK8&gt;9,0,1)</formula>
    </cfRule>
  </conditionalFormatting>
  <conditionalFormatting sqref="AD24 AD109">
    <cfRule type="expression" dxfId="2746" priority="451" stopIfTrue="1">
      <formula>IF(AK8&gt;9,0,1)</formula>
    </cfRule>
  </conditionalFormatting>
  <conditionalFormatting sqref="AE24 AE109">
    <cfRule type="expression" dxfId="2745" priority="450" stopIfTrue="1">
      <formula>IF(AK8&gt;9,0,1)</formula>
    </cfRule>
  </conditionalFormatting>
  <conditionalFormatting sqref="A26 A111">
    <cfRule type="expression" dxfId="2744" priority="449" stopIfTrue="1">
      <formula>IF(AK7&gt;1,0,1)</formula>
    </cfRule>
  </conditionalFormatting>
  <conditionalFormatting sqref="A27 A112">
    <cfRule type="expression" dxfId="2743" priority="448" stopIfTrue="1">
      <formula>IF(AK7&gt;2,0,1)</formula>
    </cfRule>
  </conditionalFormatting>
  <conditionalFormatting sqref="A28 A113">
    <cfRule type="expression" dxfId="2742" priority="447" stopIfTrue="1">
      <formula>IF(AK7&gt;3,0,1)</formula>
    </cfRule>
  </conditionalFormatting>
  <conditionalFormatting sqref="A29 A114">
    <cfRule type="expression" dxfId="2741" priority="446" stopIfTrue="1">
      <formula>IF(AK7&gt;4,0,1)</formula>
    </cfRule>
  </conditionalFormatting>
  <conditionalFormatting sqref="B27:D27 B112:D112">
    <cfRule type="expression" dxfId="2740" priority="443" stopIfTrue="1">
      <formula>IF($AK8&lt;1,1,IF($AK7&lt;3,1,0))</formula>
    </cfRule>
  </conditionalFormatting>
  <conditionalFormatting sqref="B28:D28 B113:D113">
    <cfRule type="expression" dxfId="2739" priority="442" stopIfTrue="1">
      <formula>IF($AK8&lt;1,1,IF($AK7&lt;4,1,0))</formula>
    </cfRule>
  </conditionalFormatting>
  <conditionalFormatting sqref="B29:D29 B114:D114">
    <cfRule type="expression" dxfId="2738" priority="441" stopIfTrue="1">
      <formula>IF($AK8&lt;1,1,IF($AK7&lt;5,1,0))</formula>
    </cfRule>
  </conditionalFormatting>
  <conditionalFormatting sqref="AF26 AF111">
    <cfRule type="expression" dxfId="2737" priority="440" stopIfTrue="1">
      <formula>IF($AK9&gt;2,0,1)</formula>
    </cfRule>
  </conditionalFormatting>
  <conditionalFormatting sqref="AF25 AF110">
    <cfRule type="expression" dxfId="2736" priority="439" stopIfTrue="1">
      <formula>IF($AK9&gt;1,0,1)</formula>
    </cfRule>
  </conditionalFormatting>
  <conditionalFormatting sqref="AF24 AF109">
    <cfRule type="expression" dxfId="2735" priority="438" stopIfTrue="1">
      <formula>IF($AK9&gt;0,0,1)</formula>
    </cfRule>
  </conditionalFormatting>
  <conditionalFormatting sqref="AF27 AF112">
    <cfRule type="expression" dxfId="2734" priority="437" stopIfTrue="1">
      <formula>IF($AK9&gt;3,0,1)</formula>
    </cfRule>
  </conditionalFormatting>
  <conditionalFormatting sqref="AF28 AF113">
    <cfRule type="expression" dxfId="2733" priority="436" stopIfTrue="1">
      <formula>IF($AK9&gt;4,0,1)</formula>
    </cfRule>
  </conditionalFormatting>
  <conditionalFormatting sqref="AG23 AG108">
    <cfRule type="expression" dxfId="2732" priority="435" stopIfTrue="1">
      <formula>IF($AK8&lt;1,1,0)</formula>
    </cfRule>
  </conditionalFormatting>
  <conditionalFormatting sqref="AH23 AH108">
    <cfRule type="expression" dxfId="2731" priority="434" stopIfTrue="1">
      <formula>IF($AK8&lt;2,1,0)</formula>
    </cfRule>
  </conditionalFormatting>
  <conditionalFormatting sqref="AI23 AI108">
    <cfRule type="expression" dxfId="2730" priority="433" stopIfTrue="1">
      <formula>IF($AK8&lt;3,1,0)</formula>
    </cfRule>
  </conditionalFormatting>
  <conditionalFormatting sqref="AJ23 AJ108">
    <cfRule type="expression" dxfId="2729" priority="432" stopIfTrue="1">
      <formula>IF($AK8&lt;4,1,0)</formula>
    </cfRule>
  </conditionalFormatting>
  <conditionalFormatting sqref="AK23 AK108">
    <cfRule type="expression" dxfId="2728" priority="431" stopIfTrue="1">
      <formula>IF($AK8&lt;5,1,0)</formula>
    </cfRule>
  </conditionalFormatting>
  <conditionalFormatting sqref="AL23 AL108">
    <cfRule type="expression" dxfId="2727" priority="430" stopIfTrue="1">
      <formula>IF($AK8&lt;6,1,0)</formula>
    </cfRule>
  </conditionalFormatting>
  <conditionalFormatting sqref="AM23 AM108">
    <cfRule type="expression" dxfId="2726" priority="429" stopIfTrue="1">
      <formula>IF($AK8&lt;7,1,0)</formula>
    </cfRule>
  </conditionalFormatting>
  <conditionalFormatting sqref="AN23 AN108">
    <cfRule type="expression" dxfId="2725" priority="428" stopIfTrue="1">
      <formula>IF($AK8&lt;8,1,0)</formula>
    </cfRule>
  </conditionalFormatting>
  <conditionalFormatting sqref="AO23 AO108">
    <cfRule type="expression" dxfId="2724" priority="427" stopIfTrue="1">
      <formula>IF($AK8&lt;9,1,0)</formula>
    </cfRule>
  </conditionalFormatting>
  <conditionalFormatting sqref="AP23 AP108">
    <cfRule type="expression" dxfId="2723" priority="426" stopIfTrue="1">
      <formula>IF($AK8&lt;10,1,0)</formula>
    </cfRule>
  </conditionalFormatting>
  <conditionalFormatting sqref="AQ24 AQ109">
    <cfRule type="expression" dxfId="2722" priority="425" stopIfTrue="1">
      <formula>IF($AK9&gt;0,0,1)</formula>
    </cfRule>
  </conditionalFormatting>
  <conditionalFormatting sqref="AQ25 AQ110">
    <cfRule type="expression" dxfId="2721" priority="424" stopIfTrue="1">
      <formula>IF($AK9&gt;1,0,1)</formula>
    </cfRule>
  </conditionalFormatting>
  <conditionalFormatting sqref="AQ26 AQ111">
    <cfRule type="expression" dxfId="2720" priority="423" stopIfTrue="1">
      <formula>IF($AK9&gt;2,0,1)</formula>
    </cfRule>
  </conditionalFormatting>
  <conditionalFormatting sqref="AQ28 AQ113">
    <cfRule type="expression" dxfId="2719" priority="421" stopIfTrue="1">
      <formula>IF($AK9&gt;4,0,1)</formula>
    </cfRule>
  </conditionalFormatting>
  <conditionalFormatting sqref="E27:G27 E112:G112">
    <cfRule type="expression" dxfId="2718" priority="419" stopIfTrue="1">
      <formula>IF($AK8&lt;2,1,IF($AK7&lt;3,1,0))</formula>
    </cfRule>
  </conditionalFormatting>
  <conditionalFormatting sqref="E28:G28 E113:G113">
    <cfRule type="expression" dxfId="2717" priority="418" stopIfTrue="1">
      <formula>IF($AK8&lt;2,1,IF($AK7&lt;4,1,0))</formula>
    </cfRule>
  </conditionalFormatting>
  <conditionalFormatting sqref="E29:G29 E114:G114">
    <cfRule type="expression" dxfId="2716" priority="417" stopIfTrue="1">
      <formula>IF($AK8&lt;2,1,IF($AK7&lt;5,1,0))</formula>
    </cfRule>
  </conditionalFormatting>
  <conditionalFormatting sqref="T25:V25 T110:V110">
    <cfRule type="expression" dxfId="2715" priority="414" stopIfTrue="1">
      <formula>IF($AK8&gt;6,0,1)</formula>
    </cfRule>
  </conditionalFormatting>
  <conditionalFormatting sqref="W25:Y25 W110:Y110">
    <cfRule type="expression" dxfId="2714" priority="413" stopIfTrue="1">
      <formula>IF($AK8&gt;7,0,1)</formula>
    </cfRule>
  </conditionalFormatting>
  <conditionalFormatting sqref="Z25:AB25 Z110:AB110">
    <cfRule type="expression" dxfId="2713" priority="412" stopIfTrue="1">
      <formula>IF($AK8&gt;8,0,1)</formula>
    </cfRule>
  </conditionalFormatting>
  <conditionalFormatting sqref="AC25:AE25 AC110:AE110">
    <cfRule type="expression" dxfId="2712" priority="411" stopIfTrue="1">
      <formula>IF($AK8&gt;9,0,1)</formula>
    </cfRule>
  </conditionalFormatting>
  <conditionalFormatting sqref="T26:V26 T111:V111">
    <cfRule type="expression" dxfId="2711" priority="406" stopIfTrue="1">
      <formula>IF($AK8&lt;7,1,IF($AK7&lt;2,1,0))</formula>
    </cfRule>
  </conditionalFormatting>
  <conditionalFormatting sqref="W26:Y26 W111:Y111">
    <cfRule type="expression" dxfId="2710" priority="405" stopIfTrue="1">
      <formula>IF($AK8&lt;8,1,IF($AK7&lt;2,1,0))</formula>
    </cfRule>
  </conditionalFormatting>
  <conditionalFormatting sqref="Z26:AB26 Z111:AB111">
    <cfRule type="expression" dxfId="2709" priority="404" stopIfTrue="1">
      <formula>IF($AK8&lt;9,1,IF($AK7&lt;2,1,0))</formula>
    </cfRule>
  </conditionalFormatting>
  <conditionalFormatting sqref="AC26:AE26 AC111:AE111">
    <cfRule type="expression" dxfId="2708" priority="403" stopIfTrue="1">
      <formula>IF($AK8&lt;10,1,IF($AK7&lt;2,1,0))</formula>
    </cfRule>
  </conditionalFormatting>
  <conditionalFormatting sqref="H27:J27 H112:J112">
    <cfRule type="expression" dxfId="2707" priority="402" stopIfTrue="1">
      <formula>IF($AK8&lt;3,1,IF($AK7&lt;3,1,0))</formula>
    </cfRule>
  </conditionalFormatting>
  <conditionalFormatting sqref="K27:M27 K112:M112">
    <cfRule type="expression" dxfId="2706" priority="401" stopIfTrue="1">
      <formula>IF($AK8&lt;4,1,IF($AK7&lt;3,1,0))</formula>
    </cfRule>
  </conditionalFormatting>
  <conditionalFormatting sqref="N27:P27 N112:P112">
    <cfRule type="expression" dxfId="2705" priority="400" stopIfTrue="1">
      <formula>IF($AK8&lt;5,1,IF($AK7&lt;3,1,0))</formula>
    </cfRule>
  </conditionalFormatting>
  <conditionalFormatting sqref="Q27:S27 Q112:S112">
    <cfRule type="expression" dxfId="2704" priority="399" stopIfTrue="1">
      <formula>IF($AK8&lt;6,1,IF($AK7&lt;3,1,0))</formula>
    </cfRule>
  </conditionalFormatting>
  <conditionalFormatting sqref="T27:V27 T112:V112">
    <cfRule type="expression" dxfId="2703" priority="398" stopIfTrue="1">
      <formula>IF($AK8&lt;7,1,IF($AK7&lt;3,1,0))</formula>
    </cfRule>
  </conditionalFormatting>
  <conditionalFormatting sqref="W27:Y27 W112:Y112">
    <cfRule type="expression" dxfId="2702" priority="397" stopIfTrue="1">
      <formula>IF($AK8&lt;8,1,IF($AK7&lt;3,1,0))</formula>
    </cfRule>
  </conditionalFormatting>
  <conditionalFormatting sqref="Z27:AB27 Z112:AB112">
    <cfRule type="expression" dxfId="2701" priority="396" stopIfTrue="1">
      <formula>IF($AK8&lt;9,1,IF($AK7&lt;3,1,0))</formula>
    </cfRule>
  </conditionalFormatting>
  <conditionalFormatting sqref="AC27:AE27 AC112:AE112">
    <cfRule type="expression" dxfId="2700" priority="395" stopIfTrue="1">
      <formula>IF($AK8&lt;10,1,IF($AK7&lt;3,1,0))</formula>
    </cfRule>
  </conditionalFormatting>
  <conditionalFormatting sqref="H28:J28 H113:J113">
    <cfRule type="expression" dxfId="2699" priority="394" stopIfTrue="1">
      <formula>IF($AK8&lt;3,1,IF($AK7&lt;4,1,0))</formula>
    </cfRule>
  </conditionalFormatting>
  <conditionalFormatting sqref="K28:M28 K113:M113">
    <cfRule type="expression" dxfId="2698" priority="393" stopIfTrue="1">
      <formula>IF($AK8&lt;4,1,IF($AK7&lt;4,1,0))</formula>
    </cfRule>
  </conditionalFormatting>
  <conditionalFormatting sqref="N28:P28 N113:P113">
    <cfRule type="expression" dxfId="2697" priority="392" stopIfTrue="1">
      <formula>IF($AK8&lt;5,1,IF($AK7&lt;4,1,0))</formula>
    </cfRule>
  </conditionalFormatting>
  <conditionalFormatting sqref="Q28:S28 Q113:S113">
    <cfRule type="expression" dxfId="2696" priority="391" stopIfTrue="1">
      <formula>IF($AK8&lt;6,1,IF($AK7&lt;4,1,0))</formula>
    </cfRule>
  </conditionalFormatting>
  <conditionalFormatting sqref="T28:V28 T113:V113">
    <cfRule type="expression" dxfId="2695" priority="390" stopIfTrue="1">
      <formula>IF($AK8&lt;7,1,IF($AK7&lt;4,1,0))</formula>
    </cfRule>
  </conditionalFormatting>
  <conditionalFormatting sqref="W28:Y28 W113:Y113">
    <cfRule type="expression" dxfId="2694" priority="389" stopIfTrue="1">
      <formula>IF($AK8&lt;8,1,IF($AK7&lt;4,1,0))</formula>
    </cfRule>
  </conditionalFormatting>
  <conditionalFormatting sqref="Z28:AB28 Z113:AB113">
    <cfRule type="expression" dxfId="2693" priority="388" stopIfTrue="1">
      <formula>IF($AK8&lt;9,1,IF($AK7&lt;4,1,0))</formula>
    </cfRule>
  </conditionalFormatting>
  <conditionalFormatting sqref="AC28:AE28 AC113:AE113">
    <cfRule type="expression" dxfId="2692" priority="387" stopIfTrue="1">
      <formula>IF($AK8&lt;10,1,IF($AK7&lt;4,1,0))</formula>
    </cfRule>
  </conditionalFormatting>
  <conditionalFormatting sqref="H29:J29 H114:J114">
    <cfRule type="expression" dxfId="2691" priority="386" stopIfTrue="1">
      <formula>IF($AK8&lt;3,1,IF($AK7&lt;5,1,0))</formula>
    </cfRule>
  </conditionalFormatting>
  <conditionalFormatting sqref="K29:M29 K114:M114">
    <cfRule type="expression" dxfId="2690" priority="385" stopIfTrue="1">
      <formula>IF($AK8&lt;4,1,IF($AK7&lt;5,1,0))</formula>
    </cfRule>
  </conditionalFormatting>
  <conditionalFormatting sqref="N29:P29 N114:P114">
    <cfRule type="expression" dxfId="2689" priority="384" stopIfTrue="1">
      <formula>IF($AK8&lt;5,1,IF($AK7&lt;5,1,0))</formula>
    </cfRule>
  </conditionalFormatting>
  <conditionalFormatting sqref="Q29:S29 Q114:S114">
    <cfRule type="expression" dxfId="2688" priority="383" stopIfTrue="1">
      <formula>IF($AK8&lt;6,1,IF($AK7&lt;5,1,0))</formula>
    </cfRule>
  </conditionalFormatting>
  <conditionalFormatting sqref="T29:V29 T114:V114">
    <cfRule type="expression" dxfId="2687" priority="382" stopIfTrue="1">
      <formula>IF($AK8&lt;7,1,IF($AK7&lt;5,1,0))</formula>
    </cfRule>
  </conditionalFormatting>
  <conditionalFormatting sqref="W29:Y29 W114:Y114">
    <cfRule type="expression" dxfId="2686" priority="381" stopIfTrue="1">
      <formula>IF($AK8&lt;8,1,IF($AK7&lt;5,1,0))</formula>
    </cfRule>
  </conditionalFormatting>
  <conditionalFormatting sqref="Z29:AB29 Z114:AB114">
    <cfRule type="expression" dxfId="2685" priority="380" stopIfTrue="1">
      <formula>IF($AK8&lt;9,1,IF($AK7&lt;5,1,0))</formula>
    </cfRule>
  </conditionalFormatting>
  <conditionalFormatting sqref="AC29:AE29 AC114:AE114">
    <cfRule type="expression" dxfId="2684" priority="379" stopIfTrue="1">
      <formula>IF($AK8&lt;10,1,IF($AK7&lt;5,1,0))</formula>
    </cfRule>
  </conditionalFormatting>
  <conditionalFormatting sqref="R14:AB15 AF14:AF15 L14:P15 R99:AB100 AF99:AF100 L99:P100 AG14 AG99">
    <cfRule type="expression" dxfId="2683" priority="378" stopIfTrue="1">
      <formula>IF($AK9&gt;3,0,1)</formula>
    </cfRule>
  </conditionalFormatting>
  <conditionalFormatting sqref="R16:AB17 AF16:AF17 L16:P17 R101:AB102 AF101:AF102 L101:P102 AG16 AG101">
    <cfRule type="expression" dxfId="2682" priority="377" stopIfTrue="1">
      <formula>IF($AK9&gt;4,0,1)</formula>
    </cfRule>
  </conditionalFormatting>
  <conditionalFormatting sqref="R8:AB9 AF8:AF9 L8:P9 R93:AB94 AF93:AF94 L93:P94 AG8 AG93">
    <cfRule type="expression" dxfId="2681" priority="376" stopIfTrue="1">
      <formula>IF($AK9&gt;0,0,1)</formula>
    </cfRule>
  </conditionalFormatting>
  <conditionalFormatting sqref="R10:AB11 AF10:AF11 L10:P11 R95:AB96 AF95:AF96 L95:P96 AG10 AG95">
    <cfRule type="expression" dxfId="2680" priority="375" stopIfTrue="1">
      <formula>IF($AK9&gt;1,0,1)</formula>
    </cfRule>
  </conditionalFormatting>
  <conditionalFormatting sqref="R12:AB13 AF12:AF13 L12:P13 R97:AB98 AF97:AF98 L97:P98 AG12 AG97">
    <cfRule type="expression" dxfId="2679" priority="374" stopIfTrue="1">
      <formula>IF($AK9&gt;2,0,1)</formula>
    </cfRule>
  </conditionalFormatting>
  <conditionalFormatting sqref="T109 T24">
    <cfRule type="expression" dxfId="2678" priority="368" stopIfTrue="1">
      <formula>IF(AK8&gt;6,0,1)</formula>
    </cfRule>
  </conditionalFormatting>
  <conditionalFormatting sqref="W109 W24">
    <cfRule type="expression" dxfId="2677" priority="367" stopIfTrue="1">
      <formula>IF(AK8&gt;7,0,1)</formula>
    </cfRule>
  </conditionalFormatting>
  <conditionalFormatting sqref="Z109 Z24">
    <cfRule type="expression" dxfId="2676" priority="366" stopIfTrue="1">
      <formula>IF(AK8&gt;8,0,1)</formula>
    </cfRule>
  </conditionalFormatting>
  <conditionalFormatting sqref="AC109 AC24">
    <cfRule type="expression" dxfId="2675" priority="365" stopIfTrue="1">
      <formula>IF(AK8&gt;9,0,1)</formula>
    </cfRule>
  </conditionalFormatting>
  <conditionalFormatting sqref="AQ112 AQ27">
    <cfRule type="expression" dxfId="2674" priority="364" stopIfTrue="1">
      <formula>IF($AK9&gt;3,0,1)</formula>
    </cfRule>
  </conditionalFormatting>
  <conditionalFormatting sqref="B21:D21 B106:D106">
    <cfRule type="expression" dxfId="2673" priority="362" stopIfTrue="1">
      <formula>IF(AK8&gt;0,0,1)</formula>
    </cfRule>
  </conditionalFormatting>
  <conditionalFormatting sqref="E21:G21 E106:G106">
    <cfRule type="expression" dxfId="2672" priority="361" stopIfTrue="1">
      <formula>IF(AK8&gt;1,0,1)</formula>
    </cfRule>
  </conditionalFormatting>
  <conditionalFormatting sqref="H21:J21 H106:J106">
    <cfRule type="expression" dxfId="2671" priority="360" stopIfTrue="1">
      <formula>IF(AK8&gt;2,0,1)</formula>
    </cfRule>
  </conditionalFormatting>
  <conditionalFormatting sqref="K106:M106 K21:M21">
    <cfRule type="expression" dxfId="2670" priority="359" stopIfTrue="1">
      <formula>IF(AK8&gt;3,0,1)</formula>
    </cfRule>
  </conditionalFormatting>
  <conditionalFormatting sqref="N106:P106 N21:P21">
    <cfRule type="expression" dxfId="2669" priority="358" stopIfTrue="1">
      <formula>IF(AK8&gt;4,0,1)</formula>
    </cfRule>
  </conditionalFormatting>
  <conditionalFormatting sqref="Q106:S106 Q21:S21">
    <cfRule type="expression" dxfId="2668" priority="357" stopIfTrue="1">
      <formula>IF(AK8&gt;5,0,1)</formula>
    </cfRule>
  </conditionalFormatting>
  <conditionalFormatting sqref="T106:V106 T21:V21">
    <cfRule type="expression" dxfId="2667" priority="356" stopIfTrue="1">
      <formula>IF(AK8&gt;6,0,1)</formula>
    </cfRule>
  </conditionalFormatting>
  <conditionalFormatting sqref="W106:Y106 W21:Y21">
    <cfRule type="expression" dxfId="2666" priority="355" stopIfTrue="1">
      <formula>IF(AK8&gt;7,0,1)</formula>
    </cfRule>
  </conditionalFormatting>
  <conditionalFormatting sqref="Z106:AB106 Z21:AB21">
    <cfRule type="expression" dxfId="2665" priority="354" stopIfTrue="1">
      <formula>IF(AK8&gt;8,0,1)</formula>
    </cfRule>
  </conditionalFormatting>
  <conditionalFormatting sqref="AC106:AE106 AC21:AE21">
    <cfRule type="expression" dxfId="2664" priority="353" stopIfTrue="1">
      <formula>IF(AK8&gt;9,0,1)</formula>
    </cfRule>
  </conditionalFormatting>
  <conditionalFormatting sqref="AG24:AP28 AG109:AP113">
    <cfRule type="cellIs" dxfId="2663" priority="352" stopIfTrue="1" operator="notBetween">
      <formula>-9999</formula>
      <formula>9999</formula>
    </cfRule>
  </conditionalFormatting>
  <conditionalFormatting sqref="AC92 AC7">
    <cfRule type="expression" dxfId="2662" priority="351" stopIfTrue="1">
      <formula>IF($AK$11=0,1,0)</formula>
    </cfRule>
  </conditionalFormatting>
  <conditionalFormatting sqref="B18">
    <cfRule type="expression" dxfId="2661" priority="350" stopIfTrue="1">
      <formula>IF($AK$9&gt;0,0,1)</formula>
    </cfRule>
  </conditionalFormatting>
  <conditionalFormatting sqref="B20:D20">
    <cfRule type="expression" dxfId="2660" priority="348" stopIfTrue="1">
      <formula>IF(AK8&gt;0,0,1)</formula>
    </cfRule>
  </conditionalFormatting>
  <conditionalFormatting sqref="E20:G20">
    <cfRule type="expression" dxfId="2659" priority="347" stopIfTrue="1">
      <formula>IF(AK8&gt;1,0,1)</formula>
    </cfRule>
  </conditionalFormatting>
  <conditionalFormatting sqref="H20:J20">
    <cfRule type="expression" dxfId="2658" priority="346" stopIfTrue="1">
      <formula>IF(AK8&gt;2,0,1)</formula>
    </cfRule>
  </conditionalFormatting>
  <conditionalFormatting sqref="B21:D21">
    <cfRule type="expression" dxfId="2657" priority="329" stopIfTrue="1">
      <formula>IF(AK8&gt;0,0,1)</formula>
    </cfRule>
  </conditionalFormatting>
  <conditionalFormatting sqref="E21:G21">
    <cfRule type="expression" dxfId="2656" priority="328" stopIfTrue="1">
      <formula>IF(AK8&gt;1,0,1)</formula>
    </cfRule>
  </conditionalFormatting>
  <conditionalFormatting sqref="H21:J21">
    <cfRule type="expression" dxfId="2655" priority="327" stopIfTrue="1">
      <formula>IF(AK8&gt;2,0,1)</formula>
    </cfRule>
  </conditionalFormatting>
  <conditionalFormatting sqref="B105:D105">
    <cfRule type="expression" dxfId="2654" priority="326" stopIfTrue="1">
      <formula>IF(AK93&gt;0,0,1)</formula>
    </cfRule>
  </conditionalFormatting>
  <conditionalFormatting sqref="E105:G105">
    <cfRule type="expression" dxfId="2653" priority="325" stopIfTrue="1">
      <formula>IF(AK93&gt;1,0,1)</formula>
    </cfRule>
  </conditionalFormatting>
  <conditionalFormatting sqref="H105:J105">
    <cfRule type="expression" dxfId="2652" priority="324" stopIfTrue="1">
      <formula>IF(AK93&gt;2,0,1)</formula>
    </cfRule>
  </conditionalFormatting>
  <conditionalFormatting sqref="B106:D106">
    <cfRule type="expression" dxfId="2651" priority="307" stopIfTrue="1">
      <formula>IF(AK93&gt;0,0,1)</formula>
    </cfRule>
  </conditionalFormatting>
  <conditionalFormatting sqref="E106:G106">
    <cfRule type="expression" dxfId="2650" priority="306" stopIfTrue="1">
      <formula>IF(AK93&gt;1,0,1)</formula>
    </cfRule>
  </conditionalFormatting>
  <conditionalFormatting sqref="H106:J106">
    <cfRule type="expression" dxfId="2649" priority="305" stopIfTrue="1">
      <formula>IF(AK93&gt;2,0,1)</formula>
    </cfRule>
  </conditionalFormatting>
  <conditionalFormatting sqref="B103">
    <cfRule type="expression" dxfId="2648" priority="282" stopIfTrue="1">
      <formula>IF($AK$9&gt;0,0,1)</formula>
    </cfRule>
  </conditionalFormatting>
  <conditionalFormatting sqref="B104:D104">
    <cfRule type="expression" dxfId="2647" priority="274" stopIfTrue="1">
      <formula>IF(AK93&gt;0,0,1)</formula>
    </cfRule>
  </conditionalFormatting>
  <conditionalFormatting sqref="E104:G104">
    <cfRule type="expression" dxfId="2646" priority="273" stopIfTrue="1">
      <formula>IF(AK93&gt;1,0,1)</formula>
    </cfRule>
  </conditionalFormatting>
  <conditionalFormatting sqref="H104:J104">
    <cfRule type="expression" dxfId="2645" priority="272" stopIfTrue="1">
      <formula>IF(AK93&gt;2,0,1)</formula>
    </cfRule>
  </conditionalFormatting>
  <conditionalFormatting sqref="B104:D104">
    <cfRule type="expression" dxfId="2644" priority="271" stopIfTrue="1">
      <formula>IF(AK93&gt;0,0,1)</formula>
    </cfRule>
  </conditionalFormatting>
  <conditionalFormatting sqref="E104:G104">
    <cfRule type="expression" dxfId="2643" priority="270" stopIfTrue="1">
      <formula>IF(AK93&gt;1,0,1)</formula>
    </cfRule>
  </conditionalFormatting>
  <conditionalFormatting sqref="H104:J104">
    <cfRule type="expression" dxfId="2642" priority="269" stopIfTrue="1">
      <formula>IF(AK93&gt;2,0,1)</formula>
    </cfRule>
  </conditionalFormatting>
  <conditionalFormatting sqref="B19:D19">
    <cfRule type="expression" dxfId="2641" priority="280" stopIfTrue="1">
      <formula>IF(AK8&gt;0,0,1)</formula>
    </cfRule>
  </conditionalFormatting>
  <conditionalFormatting sqref="E19:G19">
    <cfRule type="expression" dxfId="2640" priority="279" stopIfTrue="1">
      <formula>IF(AK8&gt;1,0,1)</formula>
    </cfRule>
  </conditionalFormatting>
  <conditionalFormatting sqref="H19:J19">
    <cfRule type="expression" dxfId="2639" priority="278" stopIfTrue="1">
      <formula>IF(AK8&gt;2,0,1)</formula>
    </cfRule>
  </conditionalFormatting>
  <conditionalFormatting sqref="B19:D19">
    <cfRule type="expression" dxfId="2638" priority="277" stopIfTrue="1">
      <formula>IF(AK8&gt;0,0,1)</formula>
    </cfRule>
  </conditionalFormatting>
  <conditionalFormatting sqref="E19:G19">
    <cfRule type="expression" dxfId="2637" priority="276" stopIfTrue="1">
      <formula>IF(AK8&gt;1,0,1)</formula>
    </cfRule>
  </conditionalFormatting>
  <conditionalFormatting sqref="H19:J19">
    <cfRule type="expression" dxfId="2636" priority="275" stopIfTrue="1">
      <formula>IF(AK8&gt;2,0,1)</formula>
    </cfRule>
  </conditionalFormatting>
  <conditionalFormatting sqref="E8">
    <cfRule type="expression" dxfId="2635" priority="190" stopIfTrue="1">
      <formula>IF(AK9&gt;0,0,1)</formula>
    </cfRule>
  </conditionalFormatting>
  <conditionalFormatting sqref="E9">
    <cfRule type="expression" dxfId="2634" priority="189" stopIfTrue="1">
      <formula>IF(AK9&gt;0,0,1)</formula>
    </cfRule>
  </conditionalFormatting>
  <conditionalFormatting sqref="E10">
    <cfRule type="expression" dxfId="2633" priority="188" stopIfTrue="1">
      <formula>IF(AK9&gt;1,0,1)</formula>
    </cfRule>
  </conditionalFormatting>
  <conditionalFormatting sqref="E11">
    <cfRule type="expression" dxfId="2632" priority="187" stopIfTrue="1">
      <formula>IF(AK9&gt;1,0,1)</formula>
    </cfRule>
  </conditionalFormatting>
  <conditionalFormatting sqref="E12">
    <cfRule type="expression" dxfId="2631" priority="186" stopIfTrue="1">
      <formula>IF(AK9&gt;2,0,1)</formula>
    </cfRule>
  </conditionalFormatting>
  <conditionalFormatting sqref="E13">
    <cfRule type="expression" dxfId="2630" priority="185" stopIfTrue="1">
      <formula>IF(AK9&gt;2,0,1)</formula>
    </cfRule>
  </conditionalFormatting>
  <conditionalFormatting sqref="E14">
    <cfRule type="expression" dxfId="2629" priority="184" stopIfTrue="1">
      <formula>IF(AK9&gt;3,0,1)</formula>
    </cfRule>
  </conditionalFormatting>
  <conditionalFormatting sqref="E15">
    <cfRule type="expression" dxfId="2628" priority="183" stopIfTrue="1">
      <formula>IF(AK9&gt;3,0,1)</formula>
    </cfRule>
  </conditionalFormatting>
  <conditionalFormatting sqref="E93">
    <cfRule type="expression" dxfId="2627" priority="182" stopIfTrue="1">
      <formula>IF(AK94&gt;0,0,1)</formula>
    </cfRule>
  </conditionalFormatting>
  <conditionalFormatting sqref="E94">
    <cfRule type="expression" dxfId="2626" priority="181" stopIfTrue="1">
      <formula>IF(AK94&gt;0,0,1)</formula>
    </cfRule>
  </conditionalFormatting>
  <conditionalFormatting sqref="E95">
    <cfRule type="expression" dxfId="2625" priority="180" stopIfTrue="1">
      <formula>IF(AK94&gt;1,0,1)</formula>
    </cfRule>
  </conditionalFormatting>
  <conditionalFormatting sqref="E96">
    <cfRule type="expression" dxfId="2624" priority="179" stopIfTrue="1">
      <formula>IF(AK94&gt;1,0,1)</formula>
    </cfRule>
  </conditionalFormatting>
  <conditionalFormatting sqref="E97">
    <cfRule type="expression" dxfId="2623" priority="178" stopIfTrue="1">
      <formula>IF(AK94&gt;2,0,1)</formula>
    </cfRule>
  </conditionalFormatting>
  <conditionalFormatting sqref="E98">
    <cfRule type="expression" dxfId="2622" priority="177" stopIfTrue="1">
      <formula>IF(AK94&gt;2,0,1)</formula>
    </cfRule>
  </conditionalFormatting>
  <conditionalFormatting sqref="E22:G22">
    <cfRule type="expression" dxfId="2621" priority="94" stopIfTrue="1">
      <formula>IF(AK8&gt;1,0,1)</formula>
    </cfRule>
  </conditionalFormatting>
  <conditionalFormatting sqref="H22:J22">
    <cfRule type="expression" dxfId="2620" priority="93" stopIfTrue="1">
      <formula>IF(AK8&gt;2,0,1)</formula>
    </cfRule>
  </conditionalFormatting>
  <conditionalFormatting sqref="K22:M22">
    <cfRule type="expression" dxfId="2619" priority="92" stopIfTrue="1">
      <formula>IF(AK8&gt;3,0,1)</formula>
    </cfRule>
  </conditionalFormatting>
  <conditionalFormatting sqref="N22:P22">
    <cfRule type="expression" dxfId="2618" priority="91" stopIfTrue="1">
      <formula>IF(AK8&gt;4,0,1)</formula>
    </cfRule>
  </conditionalFormatting>
  <conditionalFormatting sqref="Q22:S22">
    <cfRule type="expression" dxfId="2617" priority="90" stopIfTrue="1">
      <formula>IF(AK8&gt;5,0,1)</formula>
    </cfRule>
  </conditionalFormatting>
  <conditionalFormatting sqref="B24">
    <cfRule type="expression" dxfId="2616" priority="89" stopIfTrue="1">
      <formula>IF(AK8&gt;0,0,1)</formula>
    </cfRule>
  </conditionalFormatting>
  <conditionalFormatting sqref="C24">
    <cfRule type="expression" dxfId="2615" priority="88" stopIfTrue="1">
      <formula>IF(AK8&gt;0,0,1)</formula>
    </cfRule>
  </conditionalFormatting>
  <conditionalFormatting sqref="D24">
    <cfRule type="expression" dxfId="2614" priority="87" stopIfTrue="1">
      <formula>IF(AK8&gt;0,0,1)</formula>
    </cfRule>
  </conditionalFormatting>
  <conditionalFormatting sqref="E23:G23">
    <cfRule type="expression" dxfId="2613" priority="86" stopIfTrue="1">
      <formula>IF(AK8&gt;1,0,1)</formula>
    </cfRule>
  </conditionalFormatting>
  <conditionalFormatting sqref="F24">
    <cfRule type="expression" dxfId="2612" priority="85" stopIfTrue="1">
      <formula>IF(AK8&gt;1,0,1)</formula>
    </cfRule>
  </conditionalFormatting>
  <conditionalFormatting sqref="G24">
    <cfRule type="expression" dxfId="2611" priority="84" stopIfTrue="1">
      <formula>IF(AK8&gt;1,0,1)</formula>
    </cfRule>
  </conditionalFormatting>
  <conditionalFormatting sqref="H23:J23">
    <cfRule type="expression" dxfId="2610" priority="83" stopIfTrue="1">
      <formula>IF(AK8&gt;2,0,1)</formula>
    </cfRule>
  </conditionalFormatting>
  <conditionalFormatting sqref="I24">
    <cfRule type="expression" dxfId="2609" priority="82" stopIfTrue="1">
      <formula>IF(AK8&gt;2,0,1)</formula>
    </cfRule>
  </conditionalFormatting>
  <conditionalFormatting sqref="J24">
    <cfRule type="expression" dxfId="2608" priority="81" stopIfTrue="1">
      <formula>IF(AK8&gt;2,0,1)</formula>
    </cfRule>
  </conditionalFormatting>
  <conditionalFormatting sqref="K23:M23">
    <cfRule type="expression" dxfId="2607" priority="80" stopIfTrue="1">
      <formula>IF(AK8&gt;3,0,1)</formula>
    </cfRule>
  </conditionalFormatting>
  <conditionalFormatting sqref="L24">
    <cfRule type="expression" dxfId="2606" priority="79" stopIfTrue="1">
      <formula>IF(AK8&gt;3,0,1)</formula>
    </cfRule>
  </conditionalFormatting>
  <conditionalFormatting sqref="M24">
    <cfRule type="expression" dxfId="2605" priority="78" stopIfTrue="1">
      <formula>IF(AK8&gt;3,0,1)</formula>
    </cfRule>
  </conditionalFormatting>
  <conditionalFormatting sqref="N23:P23">
    <cfRule type="expression" dxfId="2604" priority="77" stopIfTrue="1">
      <formula>IF(AK8&gt;4,0,1)</formula>
    </cfRule>
  </conditionalFormatting>
  <conditionalFormatting sqref="O24">
    <cfRule type="expression" dxfId="2603" priority="76" stopIfTrue="1">
      <formula>IF(AK8&gt;4,0,1)</formula>
    </cfRule>
  </conditionalFormatting>
  <conditionalFormatting sqref="P24">
    <cfRule type="expression" dxfId="2602" priority="75" stopIfTrue="1">
      <formula>IF(AK8&gt;4,0,1)</formula>
    </cfRule>
  </conditionalFormatting>
  <conditionalFormatting sqref="Q23:S23">
    <cfRule type="expression" dxfId="2601" priority="74" stopIfTrue="1">
      <formula>IF(AK8&gt;5,0,1)</formula>
    </cfRule>
  </conditionalFormatting>
  <conditionalFormatting sqref="R24">
    <cfRule type="expression" dxfId="2600" priority="73" stopIfTrue="1">
      <formula>IF(AK8&gt;5,0,1)</formula>
    </cfRule>
  </conditionalFormatting>
  <conditionalFormatting sqref="S24">
    <cfRule type="expression" dxfId="2599" priority="72" stopIfTrue="1">
      <formula>IF(AK8&gt;5,0,1)</formula>
    </cfRule>
  </conditionalFormatting>
  <conditionalFormatting sqref="B26:D26">
    <cfRule type="expression" dxfId="2598" priority="70" stopIfTrue="1">
      <formula>IF($AK8&lt;1,1,IF($AK7&lt;2,1,0))</formula>
    </cfRule>
  </conditionalFormatting>
  <conditionalFormatting sqref="E26:G26">
    <cfRule type="expression" dxfId="2597" priority="67" stopIfTrue="1">
      <formula>IF($AK8&lt;2,1,IF($AK7&lt;2,1,0))</formula>
    </cfRule>
  </conditionalFormatting>
  <conditionalFormatting sqref="H26:J26">
    <cfRule type="expression" dxfId="2596" priority="64" stopIfTrue="1">
      <formula>IF($AK8&lt;3,1,IF($AK7&lt;2,1,0))</formula>
    </cfRule>
  </conditionalFormatting>
  <conditionalFormatting sqref="K26:M26">
    <cfRule type="expression" dxfId="2595" priority="63" stopIfTrue="1">
      <formula>IF($AK8&lt;4,1,IF($AK7&lt;2,1,0))</formula>
    </cfRule>
  </conditionalFormatting>
  <conditionalFormatting sqref="N26:P26">
    <cfRule type="expression" dxfId="2594" priority="62" stopIfTrue="1">
      <formula>IF($AK8&lt;5,1,IF($AK7&lt;2,1,0))</formula>
    </cfRule>
  </conditionalFormatting>
  <conditionalFormatting sqref="Q26:S26">
    <cfRule type="expression" dxfId="2593" priority="61" stopIfTrue="1">
      <formula>IF($AK8&lt;6,1,IF($AK7&lt;2,1,0))</formula>
    </cfRule>
  </conditionalFormatting>
  <conditionalFormatting sqref="E24">
    <cfRule type="expression" dxfId="2592" priority="60" stopIfTrue="1">
      <formula>IF(AK8&gt;1,0,1)</formula>
    </cfRule>
  </conditionalFormatting>
  <conditionalFormatting sqref="H24">
    <cfRule type="expression" dxfId="2591" priority="59" stopIfTrue="1">
      <formula>IF(AK8&gt;2,0,1)</formula>
    </cfRule>
  </conditionalFormatting>
  <conditionalFormatting sqref="K24">
    <cfRule type="expression" dxfId="2590" priority="58" stopIfTrue="1">
      <formula>IF(AK8&gt;3,0,1)</formula>
    </cfRule>
  </conditionalFormatting>
  <conditionalFormatting sqref="N24">
    <cfRule type="expression" dxfId="2589" priority="57" stopIfTrue="1">
      <formula>IF(AK8&gt;4,0,1)</formula>
    </cfRule>
  </conditionalFormatting>
  <conditionalFormatting sqref="Q24">
    <cfRule type="expression" dxfId="2588" priority="56" stopIfTrue="1">
      <formula>IF(AK8&gt;5,0,1)</formula>
    </cfRule>
  </conditionalFormatting>
  <conditionalFormatting sqref="B22:D23">
    <cfRule type="cellIs" dxfId="2587" priority="54" stopIfTrue="1" operator="equal">
      <formula>99</formula>
    </cfRule>
  </conditionalFormatting>
  <conditionalFormatting sqref="E107:G107">
    <cfRule type="expression" dxfId="2586" priority="53" stopIfTrue="1">
      <formula>IF(AK93&gt;1,0,1)</formula>
    </cfRule>
  </conditionalFormatting>
  <conditionalFormatting sqref="H107:J107">
    <cfRule type="expression" dxfId="2585" priority="52" stopIfTrue="1">
      <formula>IF(AK93&gt;2,0,1)</formula>
    </cfRule>
  </conditionalFormatting>
  <conditionalFormatting sqref="K107:M107">
    <cfRule type="expression" dxfId="2584" priority="51" stopIfTrue="1">
      <formula>IF(AK93&gt;3,0,1)</formula>
    </cfRule>
  </conditionalFormatting>
  <conditionalFormatting sqref="N107:P107">
    <cfRule type="expression" dxfId="2583" priority="50" stopIfTrue="1">
      <formula>IF(AK93&gt;4,0,1)</formula>
    </cfRule>
  </conditionalFormatting>
  <conditionalFormatting sqref="Q107:S107">
    <cfRule type="expression" dxfId="2582" priority="49" stopIfTrue="1">
      <formula>IF(AK93&gt;5,0,1)</formula>
    </cfRule>
  </conditionalFormatting>
  <conditionalFormatting sqref="B109">
    <cfRule type="expression" dxfId="2581" priority="48" stopIfTrue="1">
      <formula>IF(AK93&gt;0,0,1)</formula>
    </cfRule>
  </conditionalFormatting>
  <conditionalFormatting sqref="C109">
    <cfRule type="expression" dxfId="2580" priority="47" stopIfTrue="1">
      <formula>IF(AK93&gt;0,0,1)</formula>
    </cfRule>
  </conditionalFormatting>
  <conditionalFormatting sqref="D109">
    <cfRule type="expression" dxfId="2579" priority="46" stopIfTrue="1">
      <formula>IF(AK93&gt;0,0,1)</formula>
    </cfRule>
  </conditionalFormatting>
  <conditionalFormatting sqref="E108:G108">
    <cfRule type="expression" dxfId="2578" priority="45" stopIfTrue="1">
      <formula>IF(AK93&gt;1,0,1)</formula>
    </cfRule>
  </conditionalFormatting>
  <conditionalFormatting sqref="F109">
    <cfRule type="expression" dxfId="2577" priority="44" stopIfTrue="1">
      <formula>IF(AK93&gt;1,0,1)</formula>
    </cfRule>
  </conditionalFormatting>
  <conditionalFormatting sqref="G109">
    <cfRule type="expression" dxfId="2576" priority="43" stopIfTrue="1">
      <formula>IF(AK93&gt;1,0,1)</formula>
    </cfRule>
  </conditionalFormatting>
  <conditionalFormatting sqref="H108:J108">
    <cfRule type="expression" dxfId="2575" priority="42" stopIfTrue="1">
      <formula>IF(AK93&gt;2,0,1)</formula>
    </cfRule>
  </conditionalFormatting>
  <conditionalFormatting sqref="I109">
    <cfRule type="expression" dxfId="2574" priority="41" stopIfTrue="1">
      <formula>IF(AK93&gt;2,0,1)</formula>
    </cfRule>
  </conditionalFormatting>
  <conditionalFormatting sqref="J109">
    <cfRule type="expression" dxfId="2573" priority="40" stopIfTrue="1">
      <formula>IF(AK93&gt;2,0,1)</formula>
    </cfRule>
  </conditionalFormatting>
  <conditionalFormatting sqref="K108:M108">
    <cfRule type="expression" dxfId="2572" priority="39" stopIfTrue="1">
      <formula>IF(AK93&gt;3,0,1)</formula>
    </cfRule>
  </conditionalFormatting>
  <conditionalFormatting sqref="L109">
    <cfRule type="expression" dxfId="2571" priority="38" stopIfTrue="1">
      <formula>IF(AK93&gt;3,0,1)</formula>
    </cfRule>
  </conditionalFormatting>
  <conditionalFormatting sqref="M109">
    <cfRule type="expression" dxfId="2570" priority="37" stopIfTrue="1">
      <formula>IF(AK93&gt;3,0,1)</formula>
    </cfRule>
  </conditionalFormatting>
  <conditionalFormatting sqref="N108:P108">
    <cfRule type="expression" dxfId="2569" priority="36" stopIfTrue="1">
      <formula>IF(AK93&gt;4,0,1)</formula>
    </cfRule>
  </conditionalFormatting>
  <conditionalFormatting sqref="O109">
    <cfRule type="expression" dxfId="2568" priority="35" stopIfTrue="1">
      <formula>IF(AK93&gt;4,0,1)</formula>
    </cfRule>
  </conditionalFormatting>
  <conditionalFormatting sqref="P109">
    <cfRule type="expression" dxfId="2567" priority="34" stopIfTrue="1">
      <formula>IF(AK93&gt;4,0,1)</formula>
    </cfRule>
  </conditionalFormatting>
  <conditionalFormatting sqref="Q108:S108">
    <cfRule type="expression" dxfId="2566" priority="33" stopIfTrue="1">
      <formula>IF(AK93&gt;5,0,1)</formula>
    </cfRule>
  </conditionalFormatting>
  <conditionalFormatting sqref="R109">
    <cfRule type="expression" dxfId="2565" priority="32" stopIfTrue="1">
      <formula>IF(AK93&gt;5,0,1)</formula>
    </cfRule>
  </conditionalFormatting>
  <conditionalFormatting sqref="S109">
    <cfRule type="expression" dxfId="2564" priority="31" stopIfTrue="1">
      <formula>IF(AK93&gt;5,0,1)</formula>
    </cfRule>
  </conditionalFormatting>
  <conditionalFormatting sqref="B111:D111">
    <cfRule type="expression" dxfId="2563" priority="29" stopIfTrue="1">
      <formula>IF($AK93&lt;1,1,IF($AK92&lt;2,1,0))</formula>
    </cfRule>
  </conditionalFormatting>
  <conditionalFormatting sqref="E111:G111">
    <cfRule type="expression" dxfId="2562" priority="26" stopIfTrue="1">
      <formula>IF($AK93&lt;2,1,IF($AK92&lt;2,1,0))</formula>
    </cfRule>
  </conditionalFormatting>
  <conditionalFormatting sqref="H111:J111">
    <cfRule type="expression" dxfId="2561" priority="23" stopIfTrue="1">
      <formula>IF($AK93&lt;3,1,IF($AK92&lt;2,1,0))</formula>
    </cfRule>
  </conditionalFormatting>
  <conditionalFormatting sqref="K111:M111">
    <cfRule type="expression" dxfId="2560" priority="22" stopIfTrue="1">
      <formula>IF($AK93&lt;4,1,IF($AK92&lt;2,1,0))</formula>
    </cfRule>
  </conditionalFormatting>
  <conditionalFormatting sqref="N111:P111">
    <cfRule type="expression" dxfId="2559" priority="21" stopIfTrue="1">
      <formula>IF($AK93&lt;5,1,IF($AK92&lt;2,1,0))</formula>
    </cfRule>
  </conditionalFormatting>
  <conditionalFormatting sqref="Q111:S111">
    <cfRule type="expression" dxfId="2558" priority="20" stopIfTrue="1">
      <formula>IF($AK93&lt;6,1,IF($AK92&lt;2,1,0))</formula>
    </cfRule>
  </conditionalFormatting>
  <conditionalFormatting sqref="E109">
    <cfRule type="expression" dxfId="2557" priority="19" stopIfTrue="1">
      <formula>IF(AK93&gt;1,0,1)</formula>
    </cfRule>
  </conditionalFormatting>
  <conditionalFormatting sqref="H109">
    <cfRule type="expression" dxfId="2556" priority="18" stopIfTrue="1">
      <formula>IF(AK93&gt;2,0,1)</formula>
    </cfRule>
  </conditionalFormatting>
  <conditionalFormatting sqref="K109">
    <cfRule type="expression" dxfId="2555" priority="17" stopIfTrue="1">
      <formula>IF(AK93&gt;3,0,1)</formula>
    </cfRule>
  </conditionalFormatting>
  <conditionalFormatting sqref="N109">
    <cfRule type="expression" dxfId="2554" priority="16" stopIfTrue="1">
      <formula>IF(AK93&gt;4,0,1)</formula>
    </cfRule>
  </conditionalFormatting>
  <conditionalFormatting sqref="Q109">
    <cfRule type="expression" dxfId="2553" priority="15" stopIfTrue="1">
      <formula>IF(AK93&gt;5,0,1)</formula>
    </cfRule>
  </conditionalFormatting>
  <conditionalFormatting sqref="B107:D108">
    <cfRule type="cellIs" dxfId="2552" priority="13" stopIfTrue="1" operator="equal">
      <formula>99</formula>
    </cfRule>
  </conditionalFormatting>
  <conditionalFormatting sqref="B25:D25">
    <cfRule type="expression" dxfId="2551" priority="12" stopIfTrue="1">
      <formula>IF($AK8&gt;0,0,1)</formula>
    </cfRule>
  </conditionalFormatting>
  <conditionalFormatting sqref="H25:J25">
    <cfRule type="expression" dxfId="2550" priority="11" stopIfTrue="1">
      <formula>IF($AK8&gt;2,0,1)</formula>
    </cfRule>
  </conditionalFormatting>
  <conditionalFormatting sqref="K25:M25">
    <cfRule type="expression" dxfId="2549" priority="10" stopIfTrue="1">
      <formula>IF($AK8&gt;3,0,1)</formula>
    </cfRule>
  </conditionalFormatting>
  <conditionalFormatting sqref="N25:P25">
    <cfRule type="expression" dxfId="2548" priority="9" stopIfTrue="1">
      <formula>IF($AK8&gt;4,0,1)</formula>
    </cfRule>
  </conditionalFormatting>
  <conditionalFormatting sqref="Q25:S25">
    <cfRule type="expression" dxfId="2547" priority="8" stopIfTrue="1">
      <formula>IF($AK8&gt;5,0,1)</formula>
    </cfRule>
  </conditionalFormatting>
  <conditionalFormatting sqref="E25:G25">
    <cfRule type="expression" dxfId="2546" priority="7" stopIfTrue="1">
      <formula>IF($AK8&gt;1,0,1)</formula>
    </cfRule>
  </conditionalFormatting>
  <conditionalFormatting sqref="B110:D110">
    <cfRule type="expression" dxfId="2545" priority="6" stopIfTrue="1">
      <formula>IF($AK93&gt;0,0,1)</formula>
    </cfRule>
  </conditionalFormatting>
  <conditionalFormatting sqref="H110:J110">
    <cfRule type="expression" dxfId="2544" priority="5" stopIfTrue="1">
      <formula>IF($AK93&gt;2,0,1)</formula>
    </cfRule>
  </conditionalFormatting>
  <conditionalFormatting sqref="K110:M110">
    <cfRule type="expression" dxfId="2543" priority="4" stopIfTrue="1">
      <formula>IF($AK93&gt;3,0,1)</formula>
    </cfRule>
  </conditionalFormatting>
  <conditionalFormatting sqref="N110:P110">
    <cfRule type="expression" dxfId="2542" priority="3" stopIfTrue="1">
      <formula>IF($AK93&gt;4,0,1)</formula>
    </cfRule>
  </conditionalFormatting>
  <conditionalFormatting sqref="Q110:S110">
    <cfRule type="expression" dxfId="2541" priority="2" stopIfTrue="1">
      <formula>IF($AK93&gt;5,0,1)</formula>
    </cfRule>
  </conditionalFormatting>
  <conditionalFormatting sqref="E110:G110">
    <cfRule type="expression" dxfId="2540" priority="1" stopIfTrue="1">
      <formula>IF($AK93&gt;1,0,1)</formula>
    </cfRule>
  </conditionalFormatting>
  <pageMargins left="0.25" right="0.25" top="0.25" bottom="0.25" header="0" footer="0"/>
  <pageSetup scale="80" fitToHeight="8" orientation="landscape" r:id="rId1"/>
  <headerFooter alignWithMargins="0"/>
  <rowBreaks count="1" manualBreakCount="1">
    <brk id="90" max="42" man="1"/>
  </rowBreaks>
  <drawing r:id="rId2"/>
  <legacyDrawing r:id="rId3"/>
  <controls>
    <mc:AlternateContent xmlns:mc="http://schemas.openxmlformats.org/markup-compatibility/2006">
      <mc:Choice Requires="x14">
        <control shapeId="1025" r:id="rId4" name="Pool4RecalcFinish">
          <controlPr defaultSize="0" autoLine="0" autoPict="0" r:id="rId5">
            <anchor moveWithCells="1" sizeWithCells="1">
              <from>
                <xdr:col>36</xdr:col>
                <xdr:colOff>114300</xdr:colOff>
                <xdr:row>235</xdr:row>
                <xdr:rowOff>0</xdr:rowOff>
              </from>
              <to>
                <xdr:col>41</xdr:col>
                <xdr:colOff>228600</xdr:colOff>
                <xdr:row>235</xdr:row>
                <xdr:rowOff>0</xdr:rowOff>
              </to>
            </anchor>
          </controlPr>
        </control>
      </mc:Choice>
      <mc:Fallback>
        <control shapeId="1025" r:id="rId4" name="Pool4RecalcFinish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>
    <tabColor rgb="FFFF0000"/>
  </sheetPr>
  <dimension ref="A1:BA180"/>
  <sheetViews>
    <sheetView zoomScale="70" zoomScaleNormal="70" workbookViewId="0">
      <selection activeCell="AV91" sqref="AV91"/>
    </sheetView>
  </sheetViews>
  <sheetFormatPr defaultColWidth="8.88671875" defaultRowHeight="13.2" x14ac:dyDescent="0.25"/>
  <cols>
    <col min="1" max="1" width="8.88671875" style="4"/>
    <col min="2" max="2" width="3.6640625" style="4" customWidth="1"/>
    <col min="3" max="3" width="2.33203125" style="4" customWidth="1"/>
    <col min="4" max="5" width="3.6640625" style="4" customWidth="1"/>
    <col min="6" max="6" width="2.33203125" style="4" customWidth="1"/>
    <col min="7" max="8" width="3.6640625" style="4" customWidth="1"/>
    <col min="9" max="9" width="2.33203125" style="4" customWidth="1"/>
    <col min="10" max="11" width="3.6640625" style="4" customWidth="1"/>
    <col min="12" max="12" width="2.33203125" style="4" customWidth="1"/>
    <col min="13" max="14" width="3.6640625" style="4" customWidth="1"/>
    <col min="15" max="15" width="2.33203125" style="4" customWidth="1"/>
    <col min="16" max="17" width="3.6640625" style="4" customWidth="1"/>
    <col min="18" max="18" width="2.33203125" style="4" customWidth="1"/>
    <col min="19" max="20" width="3.6640625" style="4" customWidth="1"/>
    <col min="21" max="21" width="2.33203125" style="4" customWidth="1"/>
    <col min="22" max="23" width="3.6640625" style="4" customWidth="1"/>
    <col min="24" max="24" width="2.33203125" style="4" customWidth="1"/>
    <col min="25" max="26" width="3.6640625" style="4" customWidth="1"/>
    <col min="27" max="27" width="2.33203125" style="4" customWidth="1"/>
    <col min="28" max="29" width="3.6640625" style="4" customWidth="1"/>
    <col min="30" max="30" width="2.33203125" style="4" customWidth="1"/>
    <col min="31" max="31" width="3.6640625" style="4" customWidth="1"/>
    <col min="32" max="32" width="9.6640625" style="4" customWidth="1"/>
    <col min="33" max="42" width="3.6640625" style="4" customWidth="1"/>
    <col min="43" max="43" width="11" style="4" customWidth="1"/>
    <col min="44" max="46" width="8.88671875" style="4"/>
    <col min="47" max="47" width="21" style="4" customWidth="1"/>
    <col min="48" max="48" width="24.44140625" style="4" customWidth="1"/>
    <col min="49" max="49" width="14.33203125" style="4" bestFit="1" customWidth="1"/>
    <col min="50" max="50" width="9.6640625" style="4" bestFit="1" customWidth="1"/>
    <col min="51" max="51" width="7.6640625" style="4" bestFit="1" customWidth="1"/>
    <col min="52" max="52" width="24.5546875" style="4" bestFit="1" customWidth="1"/>
    <col min="53" max="53" width="3.109375" style="4" bestFit="1" customWidth="1"/>
    <col min="54" max="257" width="8.88671875" style="4"/>
    <col min="258" max="258" width="3.6640625" style="4" customWidth="1"/>
    <col min="259" max="259" width="2.33203125" style="4" customWidth="1"/>
    <col min="260" max="261" width="3.6640625" style="4" customWidth="1"/>
    <col min="262" max="262" width="2.33203125" style="4" customWidth="1"/>
    <col min="263" max="264" width="3.6640625" style="4" customWidth="1"/>
    <col min="265" max="265" width="2.33203125" style="4" customWidth="1"/>
    <col min="266" max="267" width="3.6640625" style="4" customWidth="1"/>
    <col min="268" max="268" width="2.33203125" style="4" customWidth="1"/>
    <col min="269" max="270" width="3.6640625" style="4" customWidth="1"/>
    <col min="271" max="271" width="2.33203125" style="4" customWidth="1"/>
    <col min="272" max="273" width="3.6640625" style="4" customWidth="1"/>
    <col min="274" max="274" width="2.33203125" style="4" customWidth="1"/>
    <col min="275" max="276" width="3.6640625" style="4" customWidth="1"/>
    <col min="277" max="277" width="2.33203125" style="4" customWidth="1"/>
    <col min="278" max="279" width="3.6640625" style="4" customWidth="1"/>
    <col min="280" max="280" width="2.33203125" style="4" customWidth="1"/>
    <col min="281" max="282" width="3.6640625" style="4" customWidth="1"/>
    <col min="283" max="283" width="2.33203125" style="4" customWidth="1"/>
    <col min="284" max="285" width="3.6640625" style="4" customWidth="1"/>
    <col min="286" max="286" width="2.33203125" style="4" customWidth="1"/>
    <col min="287" max="287" width="3.6640625" style="4" customWidth="1"/>
    <col min="288" max="288" width="9.6640625" style="4" customWidth="1"/>
    <col min="289" max="298" width="3.6640625" style="4" customWidth="1"/>
    <col min="299" max="299" width="11" style="4" customWidth="1"/>
    <col min="300" max="302" width="8.88671875" style="4"/>
    <col min="303" max="303" width="21" style="4" customWidth="1"/>
    <col min="304" max="304" width="24.44140625" style="4" customWidth="1"/>
    <col min="305" max="513" width="8.88671875" style="4"/>
    <col min="514" max="514" width="3.6640625" style="4" customWidth="1"/>
    <col min="515" max="515" width="2.33203125" style="4" customWidth="1"/>
    <col min="516" max="517" width="3.6640625" style="4" customWidth="1"/>
    <col min="518" max="518" width="2.33203125" style="4" customWidth="1"/>
    <col min="519" max="520" width="3.6640625" style="4" customWidth="1"/>
    <col min="521" max="521" width="2.33203125" style="4" customWidth="1"/>
    <col min="522" max="523" width="3.6640625" style="4" customWidth="1"/>
    <col min="524" max="524" width="2.33203125" style="4" customWidth="1"/>
    <col min="525" max="526" width="3.6640625" style="4" customWidth="1"/>
    <col min="527" max="527" width="2.33203125" style="4" customWidth="1"/>
    <col min="528" max="529" width="3.6640625" style="4" customWidth="1"/>
    <col min="530" max="530" width="2.33203125" style="4" customWidth="1"/>
    <col min="531" max="532" width="3.6640625" style="4" customWidth="1"/>
    <col min="533" max="533" width="2.33203125" style="4" customWidth="1"/>
    <col min="534" max="535" width="3.6640625" style="4" customWidth="1"/>
    <col min="536" max="536" width="2.33203125" style="4" customWidth="1"/>
    <col min="537" max="538" width="3.6640625" style="4" customWidth="1"/>
    <col min="539" max="539" width="2.33203125" style="4" customWidth="1"/>
    <col min="540" max="541" width="3.6640625" style="4" customWidth="1"/>
    <col min="542" max="542" width="2.33203125" style="4" customWidth="1"/>
    <col min="543" max="543" width="3.6640625" style="4" customWidth="1"/>
    <col min="544" max="544" width="9.6640625" style="4" customWidth="1"/>
    <col min="545" max="554" width="3.6640625" style="4" customWidth="1"/>
    <col min="555" max="555" width="11" style="4" customWidth="1"/>
    <col min="556" max="558" width="8.88671875" style="4"/>
    <col min="559" max="559" width="21" style="4" customWidth="1"/>
    <col min="560" max="560" width="24.44140625" style="4" customWidth="1"/>
    <col min="561" max="769" width="8.88671875" style="4"/>
    <col min="770" max="770" width="3.6640625" style="4" customWidth="1"/>
    <col min="771" max="771" width="2.33203125" style="4" customWidth="1"/>
    <col min="772" max="773" width="3.6640625" style="4" customWidth="1"/>
    <col min="774" max="774" width="2.33203125" style="4" customWidth="1"/>
    <col min="775" max="776" width="3.6640625" style="4" customWidth="1"/>
    <col min="777" max="777" width="2.33203125" style="4" customWidth="1"/>
    <col min="778" max="779" width="3.6640625" style="4" customWidth="1"/>
    <col min="780" max="780" width="2.33203125" style="4" customWidth="1"/>
    <col min="781" max="782" width="3.6640625" style="4" customWidth="1"/>
    <col min="783" max="783" width="2.33203125" style="4" customWidth="1"/>
    <col min="784" max="785" width="3.6640625" style="4" customWidth="1"/>
    <col min="786" max="786" width="2.33203125" style="4" customWidth="1"/>
    <col min="787" max="788" width="3.6640625" style="4" customWidth="1"/>
    <col min="789" max="789" width="2.33203125" style="4" customWidth="1"/>
    <col min="790" max="791" width="3.6640625" style="4" customWidth="1"/>
    <col min="792" max="792" width="2.33203125" style="4" customWidth="1"/>
    <col min="793" max="794" width="3.6640625" style="4" customWidth="1"/>
    <col min="795" max="795" width="2.33203125" style="4" customWidth="1"/>
    <col min="796" max="797" width="3.6640625" style="4" customWidth="1"/>
    <col min="798" max="798" width="2.33203125" style="4" customWidth="1"/>
    <col min="799" max="799" width="3.6640625" style="4" customWidth="1"/>
    <col min="800" max="800" width="9.6640625" style="4" customWidth="1"/>
    <col min="801" max="810" width="3.6640625" style="4" customWidth="1"/>
    <col min="811" max="811" width="11" style="4" customWidth="1"/>
    <col min="812" max="814" width="8.88671875" style="4"/>
    <col min="815" max="815" width="21" style="4" customWidth="1"/>
    <col min="816" max="816" width="24.44140625" style="4" customWidth="1"/>
    <col min="817" max="1025" width="8.88671875" style="4"/>
    <col min="1026" max="1026" width="3.6640625" style="4" customWidth="1"/>
    <col min="1027" max="1027" width="2.33203125" style="4" customWidth="1"/>
    <col min="1028" max="1029" width="3.6640625" style="4" customWidth="1"/>
    <col min="1030" max="1030" width="2.33203125" style="4" customWidth="1"/>
    <col min="1031" max="1032" width="3.6640625" style="4" customWidth="1"/>
    <col min="1033" max="1033" width="2.33203125" style="4" customWidth="1"/>
    <col min="1034" max="1035" width="3.6640625" style="4" customWidth="1"/>
    <col min="1036" max="1036" width="2.33203125" style="4" customWidth="1"/>
    <col min="1037" max="1038" width="3.6640625" style="4" customWidth="1"/>
    <col min="1039" max="1039" width="2.33203125" style="4" customWidth="1"/>
    <col min="1040" max="1041" width="3.6640625" style="4" customWidth="1"/>
    <col min="1042" max="1042" width="2.33203125" style="4" customWidth="1"/>
    <col min="1043" max="1044" width="3.6640625" style="4" customWidth="1"/>
    <col min="1045" max="1045" width="2.33203125" style="4" customWidth="1"/>
    <col min="1046" max="1047" width="3.6640625" style="4" customWidth="1"/>
    <col min="1048" max="1048" width="2.33203125" style="4" customWidth="1"/>
    <col min="1049" max="1050" width="3.6640625" style="4" customWidth="1"/>
    <col min="1051" max="1051" width="2.33203125" style="4" customWidth="1"/>
    <col min="1052" max="1053" width="3.6640625" style="4" customWidth="1"/>
    <col min="1054" max="1054" width="2.33203125" style="4" customWidth="1"/>
    <col min="1055" max="1055" width="3.6640625" style="4" customWidth="1"/>
    <col min="1056" max="1056" width="9.6640625" style="4" customWidth="1"/>
    <col min="1057" max="1066" width="3.6640625" style="4" customWidth="1"/>
    <col min="1067" max="1067" width="11" style="4" customWidth="1"/>
    <col min="1068" max="1070" width="8.88671875" style="4"/>
    <col min="1071" max="1071" width="21" style="4" customWidth="1"/>
    <col min="1072" max="1072" width="24.44140625" style="4" customWidth="1"/>
    <col min="1073" max="1281" width="8.88671875" style="4"/>
    <col min="1282" max="1282" width="3.6640625" style="4" customWidth="1"/>
    <col min="1283" max="1283" width="2.33203125" style="4" customWidth="1"/>
    <col min="1284" max="1285" width="3.6640625" style="4" customWidth="1"/>
    <col min="1286" max="1286" width="2.33203125" style="4" customWidth="1"/>
    <col min="1287" max="1288" width="3.6640625" style="4" customWidth="1"/>
    <col min="1289" max="1289" width="2.33203125" style="4" customWidth="1"/>
    <col min="1290" max="1291" width="3.6640625" style="4" customWidth="1"/>
    <col min="1292" max="1292" width="2.33203125" style="4" customWidth="1"/>
    <col min="1293" max="1294" width="3.6640625" style="4" customWidth="1"/>
    <col min="1295" max="1295" width="2.33203125" style="4" customWidth="1"/>
    <col min="1296" max="1297" width="3.6640625" style="4" customWidth="1"/>
    <col min="1298" max="1298" width="2.33203125" style="4" customWidth="1"/>
    <col min="1299" max="1300" width="3.6640625" style="4" customWidth="1"/>
    <col min="1301" max="1301" width="2.33203125" style="4" customWidth="1"/>
    <col min="1302" max="1303" width="3.6640625" style="4" customWidth="1"/>
    <col min="1304" max="1304" width="2.33203125" style="4" customWidth="1"/>
    <col min="1305" max="1306" width="3.6640625" style="4" customWidth="1"/>
    <col min="1307" max="1307" width="2.33203125" style="4" customWidth="1"/>
    <col min="1308" max="1309" width="3.6640625" style="4" customWidth="1"/>
    <col min="1310" max="1310" width="2.33203125" style="4" customWidth="1"/>
    <col min="1311" max="1311" width="3.6640625" style="4" customWidth="1"/>
    <col min="1312" max="1312" width="9.6640625" style="4" customWidth="1"/>
    <col min="1313" max="1322" width="3.6640625" style="4" customWidth="1"/>
    <col min="1323" max="1323" width="11" style="4" customWidth="1"/>
    <col min="1324" max="1326" width="8.88671875" style="4"/>
    <col min="1327" max="1327" width="21" style="4" customWidth="1"/>
    <col min="1328" max="1328" width="24.44140625" style="4" customWidth="1"/>
    <col min="1329" max="1537" width="8.88671875" style="4"/>
    <col min="1538" max="1538" width="3.6640625" style="4" customWidth="1"/>
    <col min="1539" max="1539" width="2.33203125" style="4" customWidth="1"/>
    <col min="1540" max="1541" width="3.6640625" style="4" customWidth="1"/>
    <col min="1542" max="1542" width="2.33203125" style="4" customWidth="1"/>
    <col min="1543" max="1544" width="3.6640625" style="4" customWidth="1"/>
    <col min="1545" max="1545" width="2.33203125" style="4" customWidth="1"/>
    <col min="1546" max="1547" width="3.6640625" style="4" customWidth="1"/>
    <col min="1548" max="1548" width="2.33203125" style="4" customWidth="1"/>
    <col min="1549" max="1550" width="3.6640625" style="4" customWidth="1"/>
    <col min="1551" max="1551" width="2.33203125" style="4" customWidth="1"/>
    <col min="1552" max="1553" width="3.6640625" style="4" customWidth="1"/>
    <col min="1554" max="1554" width="2.33203125" style="4" customWidth="1"/>
    <col min="1555" max="1556" width="3.6640625" style="4" customWidth="1"/>
    <col min="1557" max="1557" width="2.33203125" style="4" customWidth="1"/>
    <col min="1558" max="1559" width="3.6640625" style="4" customWidth="1"/>
    <col min="1560" max="1560" width="2.33203125" style="4" customWidth="1"/>
    <col min="1561" max="1562" width="3.6640625" style="4" customWidth="1"/>
    <col min="1563" max="1563" width="2.33203125" style="4" customWidth="1"/>
    <col min="1564" max="1565" width="3.6640625" style="4" customWidth="1"/>
    <col min="1566" max="1566" width="2.33203125" style="4" customWidth="1"/>
    <col min="1567" max="1567" width="3.6640625" style="4" customWidth="1"/>
    <col min="1568" max="1568" width="9.6640625" style="4" customWidth="1"/>
    <col min="1569" max="1578" width="3.6640625" style="4" customWidth="1"/>
    <col min="1579" max="1579" width="11" style="4" customWidth="1"/>
    <col min="1580" max="1582" width="8.88671875" style="4"/>
    <col min="1583" max="1583" width="21" style="4" customWidth="1"/>
    <col min="1584" max="1584" width="24.44140625" style="4" customWidth="1"/>
    <col min="1585" max="1793" width="8.88671875" style="4"/>
    <col min="1794" max="1794" width="3.6640625" style="4" customWidth="1"/>
    <col min="1795" max="1795" width="2.33203125" style="4" customWidth="1"/>
    <col min="1796" max="1797" width="3.6640625" style="4" customWidth="1"/>
    <col min="1798" max="1798" width="2.33203125" style="4" customWidth="1"/>
    <col min="1799" max="1800" width="3.6640625" style="4" customWidth="1"/>
    <col min="1801" max="1801" width="2.33203125" style="4" customWidth="1"/>
    <col min="1802" max="1803" width="3.6640625" style="4" customWidth="1"/>
    <col min="1804" max="1804" width="2.33203125" style="4" customWidth="1"/>
    <col min="1805" max="1806" width="3.6640625" style="4" customWidth="1"/>
    <col min="1807" max="1807" width="2.33203125" style="4" customWidth="1"/>
    <col min="1808" max="1809" width="3.6640625" style="4" customWidth="1"/>
    <col min="1810" max="1810" width="2.33203125" style="4" customWidth="1"/>
    <col min="1811" max="1812" width="3.6640625" style="4" customWidth="1"/>
    <col min="1813" max="1813" width="2.33203125" style="4" customWidth="1"/>
    <col min="1814" max="1815" width="3.6640625" style="4" customWidth="1"/>
    <col min="1816" max="1816" width="2.33203125" style="4" customWidth="1"/>
    <col min="1817" max="1818" width="3.6640625" style="4" customWidth="1"/>
    <col min="1819" max="1819" width="2.33203125" style="4" customWidth="1"/>
    <col min="1820" max="1821" width="3.6640625" style="4" customWidth="1"/>
    <col min="1822" max="1822" width="2.33203125" style="4" customWidth="1"/>
    <col min="1823" max="1823" width="3.6640625" style="4" customWidth="1"/>
    <col min="1824" max="1824" width="9.6640625" style="4" customWidth="1"/>
    <col min="1825" max="1834" width="3.6640625" style="4" customWidth="1"/>
    <col min="1835" max="1835" width="11" style="4" customWidth="1"/>
    <col min="1836" max="1838" width="8.88671875" style="4"/>
    <col min="1839" max="1839" width="21" style="4" customWidth="1"/>
    <col min="1840" max="1840" width="24.44140625" style="4" customWidth="1"/>
    <col min="1841" max="2049" width="8.88671875" style="4"/>
    <col min="2050" max="2050" width="3.6640625" style="4" customWidth="1"/>
    <col min="2051" max="2051" width="2.33203125" style="4" customWidth="1"/>
    <col min="2052" max="2053" width="3.6640625" style="4" customWidth="1"/>
    <col min="2054" max="2054" width="2.33203125" style="4" customWidth="1"/>
    <col min="2055" max="2056" width="3.6640625" style="4" customWidth="1"/>
    <col min="2057" max="2057" width="2.33203125" style="4" customWidth="1"/>
    <col min="2058" max="2059" width="3.6640625" style="4" customWidth="1"/>
    <col min="2060" max="2060" width="2.33203125" style="4" customWidth="1"/>
    <col min="2061" max="2062" width="3.6640625" style="4" customWidth="1"/>
    <col min="2063" max="2063" width="2.33203125" style="4" customWidth="1"/>
    <col min="2064" max="2065" width="3.6640625" style="4" customWidth="1"/>
    <col min="2066" max="2066" width="2.33203125" style="4" customWidth="1"/>
    <col min="2067" max="2068" width="3.6640625" style="4" customWidth="1"/>
    <col min="2069" max="2069" width="2.33203125" style="4" customWidth="1"/>
    <col min="2070" max="2071" width="3.6640625" style="4" customWidth="1"/>
    <col min="2072" max="2072" width="2.33203125" style="4" customWidth="1"/>
    <col min="2073" max="2074" width="3.6640625" style="4" customWidth="1"/>
    <col min="2075" max="2075" width="2.33203125" style="4" customWidth="1"/>
    <col min="2076" max="2077" width="3.6640625" style="4" customWidth="1"/>
    <col min="2078" max="2078" width="2.33203125" style="4" customWidth="1"/>
    <col min="2079" max="2079" width="3.6640625" style="4" customWidth="1"/>
    <col min="2080" max="2080" width="9.6640625" style="4" customWidth="1"/>
    <col min="2081" max="2090" width="3.6640625" style="4" customWidth="1"/>
    <col min="2091" max="2091" width="11" style="4" customWidth="1"/>
    <col min="2092" max="2094" width="8.88671875" style="4"/>
    <col min="2095" max="2095" width="21" style="4" customWidth="1"/>
    <col min="2096" max="2096" width="24.44140625" style="4" customWidth="1"/>
    <col min="2097" max="2305" width="8.88671875" style="4"/>
    <col min="2306" max="2306" width="3.6640625" style="4" customWidth="1"/>
    <col min="2307" max="2307" width="2.33203125" style="4" customWidth="1"/>
    <col min="2308" max="2309" width="3.6640625" style="4" customWidth="1"/>
    <col min="2310" max="2310" width="2.33203125" style="4" customWidth="1"/>
    <col min="2311" max="2312" width="3.6640625" style="4" customWidth="1"/>
    <col min="2313" max="2313" width="2.33203125" style="4" customWidth="1"/>
    <col min="2314" max="2315" width="3.6640625" style="4" customWidth="1"/>
    <col min="2316" max="2316" width="2.33203125" style="4" customWidth="1"/>
    <col min="2317" max="2318" width="3.6640625" style="4" customWidth="1"/>
    <col min="2319" max="2319" width="2.33203125" style="4" customWidth="1"/>
    <col min="2320" max="2321" width="3.6640625" style="4" customWidth="1"/>
    <col min="2322" max="2322" width="2.33203125" style="4" customWidth="1"/>
    <col min="2323" max="2324" width="3.6640625" style="4" customWidth="1"/>
    <col min="2325" max="2325" width="2.33203125" style="4" customWidth="1"/>
    <col min="2326" max="2327" width="3.6640625" style="4" customWidth="1"/>
    <col min="2328" max="2328" width="2.33203125" style="4" customWidth="1"/>
    <col min="2329" max="2330" width="3.6640625" style="4" customWidth="1"/>
    <col min="2331" max="2331" width="2.33203125" style="4" customWidth="1"/>
    <col min="2332" max="2333" width="3.6640625" style="4" customWidth="1"/>
    <col min="2334" max="2334" width="2.33203125" style="4" customWidth="1"/>
    <col min="2335" max="2335" width="3.6640625" style="4" customWidth="1"/>
    <col min="2336" max="2336" width="9.6640625" style="4" customWidth="1"/>
    <col min="2337" max="2346" width="3.6640625" style="4" customWidth="1"/>
    <col min="2347" max="2347" width="11" style="4" customWidth="1"/>
    <col min="2348" max="2350" width="8.88671875" style="4"/>
    <col min="2351" max="2351" width="21" style="4" customWidth="1"/>
    <col min="2352" max="2352" width="24.44140625" style="4" customWidth="1"/>
    <col min="2353" max="2561" width="8.88671875" style="4"/>
    <col min="2562" max="2562" width="3.6640625" style="4" customWidth="1"/>
    <col min="2563" max="2563" width="2.33203125" style="4" customWidth="1"/>
    <col min="2564" max="2565" width="3.6640625" style="4" customWidth="1"/>
    <col min="2566" max="2566" width="2.33203125" style="4" customWidth="1"/>
    <col min="2567" max="2568" width="3.6640625" style="4" customWidth="1"/>
    <col min="2569" max="2569" width="2.33203125" style="4" customWidth="1"/>
    <col min="2570" max="2571" width="3.6640625" style="4" customWidth="1"/>
    <col min="2572" max="2572" width="2.33203125" style="4" customWidth="1"/>
    <col min="2573" max="2574" width="3.6640625" style="4" customWidth="1"/>
    <col min="2575" max="2575" width="2.33203125" style="4" customWidth="1"/>
    <col min="2576" max="2577" width="3.6640625" style="4" customWidth="1"/>
    <col min="2578" max="2578" width="2.33203125" style="4" customWidth="1"/>
    <col min="2579" max="2580" width="3.6640625" style="4" customWidth="1"/>
    <col min="2581" max="2581" width="2.33203125" style="4" customWidth="1"/>
    <col min="2582" max="2583" width="3.6640625" style="4" customWidth="1"/>
    <col min="2584" max="2584" width="2.33203125" style="4" customWidth="1"/>
    <col min="2585" max="2586" width="3.6640625" style="4" customWidth="1"/>
    <col min="2587" max="2587" width="2.33203125" style="4" customWidth="1"/>
    <col min="2588" max="2589" width="3.6640625" style="4" customWidth="1"/>
    <col min="2590" max="2590" width="2.33203125" style="4" customWidth="1"/>
    <col min="2591" max="2591" width="3.6640625" style="4" customWidth="1"/>
    <col min="2592" max="2592" width="9.6640625" style="4" customWidth="1"/>
    <col min="2593" max="2602" width="3.6640625" style="4" customWidth="1"/>
    <col min="2603" max="2603" width="11" style="4" customWidth="1"/>
    <col min="2604" max="2606" width="8.88671875" style="4"/>
    <col min="2607" max="2607" width="21" style="4" customWidth="1"/>
    <col min="2608" max="2608" width="24.44140625" style="4" customWidth="1"/>
    <col min="2609" max="2817" width="8.88671875" style="4"/>
    <col min="2818" max="2818" width="3.6640625" style="4" customWidth="1"/>
    <col min="2819" max="2819" width="2.33203125" style="4" customWidth="1"/>
    <col min="2820" max="2821" width="3.6640625" style="4" customWidth="1"/>
    <col min="2822" max="2822" width="2.33203125" style="4" customWidth="1"/>
    <col min="2823" max="2824" width="3.6640625" style="4" customWidth="1"/>
    <col min="2825" max="2825" width="2.33203125" style="4" customWidth="1"/>
    <col min="2826" max="2827" width="3.6640625" style="4" customWidth="1"/>
    <col min="2828" max="2828" width="2.33203125" style="4" customWidth="1"/>
    <col min="2829" max="2830" width="3.6640625" style="4" customWidth="1"/>
    <col min="2831" max="2831" width="2.33203125" style="4" customWidth="1"/>
    <col min="2832" max="2833" width="3.6640625" style="4" customWidth="1"/>
    <col min="2834" max="2834" width="2.33203125" style="4" customWidth="1"/>
    <col min="2835" max="2836" width="3.6640625" style="4" customWidth="1"/>
    <col min="2837" max="2837" width="2.33203125" style="4" customWidth="1"/>
    <col min="2838" max="2839" width="3.6640625" style="4" customWidth="1"/>
    <col min="2840" max="2840" width="2.33203125" style="4" customWidth="1"/>
    <col min="2841" max="2842" width="3.6640625" style="4" customWidth="1"/>
    <col min="2843" max="2843" width="2.33203125" style="4" customWidth="1"/>
    <col min="2844" max="2845" width="3.6640625" style="4" customWidth="1"/>
    <col min="2846" max="2846" width="2.33203125" style="4" customWidth="1"/>
    <col min="2847" max="2847" width="3.6640625" style="4" customWidth="1"/>
    <col min="2848" max="2848" width="9.6640625" style="4" customWidth="1"/>
    <col min="2849" max="2858" width="3.6640625" style="4" customWidth="1"/>
    <col min="2859" max="2859" width="11" style="4" customWidth="1"/>
    <col min="2860" max="2862" width="8.88671875" style="4"/>
    <col min="2863" max="2863" width="21" style="4" customWidth="1"/>
    <col min="2864" max="2864" width="24.44140625" style="4" customWidth="1"/>
    <col min="2865" max="3073" width="8.88671875" style="4"/>
    <col min="3074" max="3074" width="3.6640625" style="4" customWidth="1"/>
    <col min="3075" max="3075" width="2.33203125" style="4" customWidth="1"/>
    <col min="3076" max="3077" width="3.6640625" style="4" customWidth="1"/>
    <col min="3078" max="3078" width="2.33203125" style="4" customWidth="1"/>
    <col min="3079" max="3080" width="3.6640625" style="4" customWidth="1"/>
    <col min="3081" max="3081" width="2.33203125" style="4" customWidth="1"/>
    <col min="3082" max="3083" width="3.6640625" style="4" customWidth="1"/>
    <col min="3084" max="3084" width="2.33203125" style="4" customWidth="1"/>
    <col min="3085" max="3086" width="3.6640625" style="4" customWidth="1"/>
    <col min="3087" max="3087" width="2.33203125" style="4" customWidth="1"/>
    <col min="3088" max="3089" width="3.6640625" style="4" customWidth="1"/>
    <col min="3090" max="3090" width="2.33203125" style="4" customWidth="1"/>
    <col min="3091" max="3092" width="3.6640625" style="4" customWidth="1"/>
    <col min="3093" max="3093" width="2.33203125" style="4" customWidth="1"/>
    <col min="3094" max="3095" width="3.6640625" style="4" customWidth="1"/>
    <col min="3096" max="3096" width="2.33203125" style="4" customWidth="1"/>
    <col min="3097" max="3098" width="3.6640625" style="4" customWidth="1"/>
    <col min="3099" max="3099" width="2.33203125" style="4" customWidth="1"/>
    <col min="3100" max="3101" width="3.6640625" style="4" customWidth="1"/>
    <col min="3102" max="3102" width="2.33203125" style="4" customWidth="1"/>
    <col min="3103" max="3103" width="3.6640625" style="4" customWidth="1"/>
    <col min="3104" max="3104" width="9.6640625" style="4" customWidth="1"/>
    <col min="3105" max="3114" width="3.6640625" style="4" customWidth="1"/>
    <col min="3115" max="3115" width="11" style="4" customWidth="1"/>
    <col min="3116" max="3118" width="8.88671875" style="4"/>
    <col min="3119" max="3119" width="21" style="4" customWidth="1"/>
    <col min="3120" max="3120" width="24.44140625" style="4" customWidth="1"/>
    <col min="3121" max="3329" width="8.88671875" style="4"/>
    <col min="3330" max="3330" width="3.6640625" style="4" customWidth="1"/>
    <col min="3331" max="3331" width="2.33203125" style="4" customWidth="1"/>
    <col min="3332" max="3333" width="3.6640625" style="4" customWidth="1"/>
    <col min="3334" max="3334" width="2.33203125" style="4" customWidth="1"/>
    <col min="3335" max="3336" width="3.6640625" style="4" customWidth="1"/>
    <col min="3337" max="3337" width="2.33203125" style="4" customWidth="1"/>
    <col min="3338" max="3339" width="3.6640625" style="4" customWidth="1"/>
    <col min="3340" max="3340" width="2.33203125" style="4" customWidth="1"/>
    <col min="3341" max="3342" width="3.6640625" style="4" customWidth="1"/>
    <col min="3343" max="3343" width="2.33203125" style="4" customWidth="1"/>
    <col min="3344" max="3345" width="3.6640625" style="4" customWidth="1"/>
    <col min="3346" max="3346" width="2.33203125" style="4" customWidth="1"/>
    <col min="3347" max="3348" width="3.6640625" style="4" customWidth="1"/>
    <col min="3349" max="3349" width="2.33203125" style="4" customWidth="1"/>
    <col min="3350" max="3351" width="3.6640625" style="4" customWidth="1"/>
    <col min="3352" max="3352" width="2.33203125" style="4" customWidth="1"/>
    <col min="3353" max="3354" width="3.6640625" style="4" customWidth="1"/>
    <col min="3355" max="3355" width="2.33203125" style="4" customWidth="1"/>
    <col min="3356" max="3357" width="3.6640625" style="4" customWidth="1"/>
    <col min="3358" max="3358" width="2.33203125" style="4" customWidth="1"/>
    <col min="3359" max="3359" width="3.6640625" style="4" customWidth="1"/>
    <col min="3360" max="3360" width="9.6640625" style="4" customWidth="1"/>
    <col min="3361" max="3370" width="3.6640625" style="4" customWidth="1"/>
    <col min="3371" max="3371" width="11" style="4" customWidth="1"/>
    <col min="3372" max="3374" width="8.88671875" style="4"/>
    <col min="3375" max="3375" width="21" style="4" customWidth="1"/>
    <col min="3376" max="3376" width="24.44140625" style="4" customWidth="1"/>
    <col min="3377" max="3585" width="8.88671875" style="4"/>
    <col min="3586" max="3586" width="3.6640625" style="4" customWidth="1"/>
    <col min="3587" max="3587" width="2.33203125" style="4" customWidth="1"/>
    <col min="3588" max="3589" width="3.6640625" style="4" customWidth="1"/>
    <col min="3590" max="3590" width="2.33203125" style="4" customWidth="1"/>
    <col min="3591" max="3592" width="3.6640625" style="4" customWidth="1"/>
    <col min="3593" max="3593" width="2.33203125" style="4" customWidth="1"/>
    <col min="3594" max="3595" width="3.6640625" style="4" customWidth="1"/>
    <col min="3596" max="3596" width="2.33203125" style="4" customWidth="1"/>
    <col min="3597" max="3598" width="3.6640625" style="4" customWidth="1"/>
    <col min="3599" max="3599" width="2.33203125" style="4" customWidth="1"/>
    <col min="3600" max="3601" width="3.6640625" style="4" customWidth="1"/>
    <col min="3602" max="3602" width="2.33203125" style="4" customWidth="1"/>
    <col min="3603" max="3604" width="3.6640625" style="4" customWidth="1"/>
    <col min="3605" max="3605" width="2.33203125" style="4" customWidth="1"/>
    <col min="3606" max="3607" width="3.6640625" style="4" customWidth="1"/>
    <col min="3608" max="3608" width="2.33203125" style="4" customWidth="1"/>
    <col min="3609" max="3610" width="3.6640625" style="4" customWidth="1"/>
    <col min="3611" max="3611" width="2.33203125" style="4" customWidth="1"/>
    <col min="3612" max="3613" width="3.6640625" style="4" customWidth="1"/>
    <col min="3614" max="3614" width="2.33203125" style="4" customWidth="1"/>
    <col min="3615" max="3615" width="3.6640625" style="4" customWidth="1"/>
    <col min="3616" max="3616" width="9.6640625" style="4" customWidth="1"/>
    <col min="3617" max="3626" width="3.6640625" style="4" customWidth="1"/>
    <col min="3627" max="3627" width="11" style="4" customWidth="1"/>
    <col min="3628" max="3630" width="8.88671875" style="4"/>
    <col min="3631" max="3631" width="21" style="4" customWidth="1"/>
    <col min="3632" max="3632" width="24.44140625" style="4" customWidth="1"/>
    <col min="3633" max="3841" width="8.88671875" style="4"/>
    <col min="3842" max="3842" width="3.6640625" style="4" customWidth="1"/>
    <col min="3843" max="3843" width="2.33203125" style="4" customWidth="1"/>
    <col min="3844" max="3845" width="3.6640625" style="4" customWidth="1"/>
    <col min="3846" max="3846" width="2.33203125" style="4" customWidth="1"/>
    <col min="3847" max="3848" width="3.6640625" style="4" customWidth="1"/>
    <col min="3849" max="3849" width="2.33203125" style="4" customWidth="1"/>
    <col min="3850" max="3851" width="3.6640625" style="4" customWidth="1"/>
    <col min="3852" max="3852" width="2.33203125" style="4" customWidth="1"/>
    <col min="3853" max="3854" width="3.6640625" style="4" customWidth="1"/>
    <col min="3855" max="3855" width="2.33203125" style="4" customWidth="1"/>
    <col min="3856" max="3857" width="3.6640625" style="4" customWidth="1"/>
    <col min="3858" max="3858" width="2.33203125" style="4" customWidth="1"/>
    <col min="3859" max="3860" width="3.6640625" style="4" customWidth="1"/>
    <col min="3861" max="3861" width="2.33203125" style="4" customWidth="1"/>
    <col min="3862" max="3863" width="3.6640625" style="4" customWidth="1"/>
    <col min="3864" max="3864" width="2.33203125" style="4" customWidth="1"/>
    <col min="3865" max="3866" width="3.6640625" style="4" customWidth="1"/>
    <col min="3867" max="3867" width="2.33203125" style="4" customWidth="1"/>
    <col min="3868" max="3869" width="3.6640625" style="4" customWidth="1"/>
    <col min="3870" max="3870" width="2.33203125" style="4" customWidth="1"/>
    <col min="3871" max="3871" width="3.6640625" style="4" customWidth="1"/>
    <col min="3872" max="3872" width="9.6640625" style="4" customWidth="1"/>
    <col min="3873" max="3882" width="3.6640625" style="4" customWidth="1"/>
    <col min="3883" max="3883" width="11" style="4" customWidth="1"/>
    <col min="3884" max="3886" width="8.88671875" style="4"/>
    <col min="3887" max="3887" width="21" style="4" customWidth="1"/>
    <col min="3888" max="3888" width="24.44140625" style="4" customWidth="1"/>
    <col min="3889" max="4097" width="8.88671875" style="4"/>
    <col min="4098" max="4098" width="3.6640625" style="4" customWidth="1"/>
    <col min="4099" max="4099" width="2.33203125" style="4" customWidth="1"/>
    <col min="4100" max="4101" width="3.6640625" style="4" customWidth="1"/>
    <col min="4102" max="4102" width="2.33203125" style="4" customWidth="1"/>
    <col min="4103" max="4104" width="3.6640625" style="4" customWidth="1"/>
    <col min="4105" max="4105" width="2.33203125" style="4" customWidth="1"/>
    <col min="4106" max="4107" width="3.6640625" style="4" customWidth="1"/>
    <col min="4108" max="4108" width="2.33203125" style="4" customWidth="1"/>
    <col min="4109" max="4110" width="3.6640625" style="4" customWidth="1"/>
    <col min="4111" max="4111" width="2.33203125" style="4" customWidth="1"/>
    <col min="4112" max="4113" width="3.6640625" style="4" customWidth="1"/>
    <col min="4114" max="4114" width="2.33203125" style="4" customWidth="1"/>
    <col min="4115" max="4116" width="3.6640625" style="4" customWidth="1"/>
    <col min="4117" max="4117" width="2.33203125" style="4" customWidth="1"/>
    <col min="4118" max="4119" width="3.6640625" style="4" customWidth="1"/>
    <col min="4120" max="4120" width="2.33203125" style="4" customWidth="1"/>
    <col min="4121" max="4122" width="3.6640625" style="4" customWidth="1"/>
    <col min="4123" max="4123" width="2.33203125" style="4" customWidth="1"/>
    <col min="4124" max="4125" width="3.6640625" style="4" customWidth="1"/>
    <col min="4126" max="4126" width="2.33203125" style="4" customWidth="1"/>
    <col min="4127" max="4127" width="3.6640625" style="4" customWidth="1"/>
    <col min="4128" max="4128" width="9.6640625" style="4" customWidth="1"/>
    <col min="4129" max="4138" width="3.6640625" style="4" customWidth="1"/>
    <col min="4139" max="4139" width="11" style="4" customWidth="1"/>
    <col min="4140" max="4142" width="8.88671875" style="4"/>
    <col min="4143" max="4143" width="21" style="4" customWidth="1"/>
    <col min="4144" max="4144" width="24.44140625" style="4" customWidth="1"/>
    <col min="4145" max="4353" width="8.88671875" style="4"/>
    <col min="4354" max="4354" width="3.6640625" style="4" customWidth="1"/>
    <col min="4355" max="4355" width="2.33203125" style="4" customWidth="1"/>
    <col min="4356" max="4357" width="3.6640625" style="4" customWidth="1"/>
    <col min="4358" max="4358" width="2.33203125" style="4" customWidth="1"/>
    <col min="4359" max="4360" width="3.6640625" style="4" customWidth="1"/>
    <col min="4361" max="4361" width="2.33203125" style="4" customWidth="1"/>
    <col min="4362" max="4363" width="3.6640625" style="4" customWidth="1"/>
    <col min="4364" max="4364" width="2.33203125" style="4" customWidth="1"/>
    <col min="4365" max="4366" width="3.6640625" style="4" customWidth="1"/>
    <col min="4367" max="4367" width="2.33203125" style="4" customWidth="1"/>
    <col min="4368" max="4369" width="3.6640625" style="4" customWidth="1"/>
    <col min="4370" max="4370" width="2.33203125" style="4" customWidth="1"/>
    <col min="4371" max="4372" width="3.6640625" style="4" customWidth="1"/>
    <col min="4373" max="4373" width="2.33203125" style="4" customWidth="1"/>
    <col min="4374" max="4375" width="3.6640625" style="4" customWidth="1"/>
    <col min="4376" max="4376" width="2.33203125" style="4" customWidth="1"/>
    <col min="4377" max="4378" width="3.6640625" style="4" customWidth="1"/>
    <col min="4379" max="4379" width="2.33203125" style="4" customWidth="1"/>
    <col min="4380" max="4381" width="3.6640625" style="4" customWidth="1"/>
    <col min="4382" max="4382" width="2.33203125" style="4" customWidth="1"/>
    <col min="4383" max="4383" width="3.6640625" style="4" customWidth="1"/>
    <col min="4384" max="4384" width="9.6640625" style="4" customWidth="1"/>
    <col min="4385" max="4394" width="3.6640625" style="4" customWidth="1"/>
    <col min="4395" max="4395" width="11" style="4" customWidth="1"/>
    <col min="4396" max="4398" width="8.88671875" style="4"/>
    <col min="4399" max="4399" width="21" style="4" customWidth="1"/>
    <col min="4400" max="4400" width="24.44140625" style="4" customWidth="1"/>
    <col min="4401" max="4609" width="8.88671875" style="4"/>
    <col min="4610" max="4610" width="3.6640625" style="4" customWidth="1"/>
    <col min="4611" max="4611" width="2.33203125" style="4" customWidth="1"/>
    <col min="4612" max="4613" width="3.6640625" style="4" customWidth="1"/>
    <col min="4614" max="4614" width="2.33203125" style="4" customWidth="1"/>
    <col min="4615" max="4616" width="3.6640625" style="4" customWidth="1"/>
    <col min="4617" max="4617" width="2.33203125" style="4" customWidth="1"/>
    <col min="4618" max="4619" width="3.6640625" style="4" customWidth="1"/>
    <col min="4620" max="4620" width="2.33203125" style="4" customWidth="1"/>
    <col min="4621" max="4622" width="3.6640625" style="4" customWidth="1"/>
    <col min="4623" max="4623" width="2.33203125" style="4" customWidth="1"/>
    <col min="4624" max="4625" width="3.6640625" style="4" customWidth="1"/>
    <col min="4626" max="4626" width="2.33203125" style="4" customWidth="1"/>
    <col min="4627" max="4628" width="3.6640625" style="4" customWidth="1"/>
    <col min="4629" max="4629" width="2.33203125" style="4" customWidth="1"/>
    <col min="4630" max="4631" width="3.6640625" style="4" customWidth="1"/>
    <col min="4632" max="4632" width="2.33203125" style="4" customWidth="1"/>
    <col min="4633" max="4634" width="3.6640625" style="4" customWidth="1"/>
    <col min="4635" max="4635" width="2.33203125" style="4" customWidth="1"/>
    <col min="4636" max="4637" width="3.6640625" style="4" customWidth="1"/>
    <col min="4638" max="4638" width="2.33203125" style="4" customWidth="1"/>
    <col min="4639" max="4639" width="3.6640625" style="4" customWidth="1"/>
    <col min="4640" max="4640" width="9.6640625" style="4" customWidth="1"/>
    <col min="4641" max="4650" width="3.6640625" style="4" customWidth="1"/>
    <col min="4651" max="4651" width="11" style="4" customWidth="1"/>
    <col min="4652" max="4654" width="8.88671875" style="4"/>
    <col min="4655" max="4655" width="21" style="4" customWidth="1"/>
    <col min="4656" max="4656" width="24.44140625" style="4" customWidth="1"/>
    <col min="4657" max="4865" width="8.88671875" style="4"/>
    <col min="4866" max="4866" width="3.6640625" style="4" customWidth="1"/>
    <col min="4867" max="4867" width="2.33203125" style="4" customWidth="1"/>
    <col min="4868" max="4869" width="3.6640625" style="4" customWidth="1"/>
    <col min="4870" max="4870" width="2.33203125" style="4" customWidth="1"/>
    <col min="4871" max="4872" width="3.6640625" style="4" customWidth="1"/>
    <col min="4873" max="4873" width="2.33203125" style="4" customWidth="1"/>
    <col min="4874" max="4875" width="3.6640625" style="4" customWidth="1"/>
    <col min="4876" max="4876" width="2.33203125" style="4" customWidth="1"/>
    <col min="4877" max="4878" width="3.6640625" style="4" customWidth="1"/>
    <col min="4879" max="4879" width="2.33203125" style="4" customWidth="1"/>
    <col min="4880" max="4881" width="3.6640625" style="4" customWidth="1"/>
    <col min="4882" max="4882" width="2.33203125" style="4" customWidth="1"/>
    <col min="4883" max="4884" width="3.6640625" style="4" customWidth="1"/>
    <col min="4885" max="4885" width="2.33203125" style="4" customWidth="1"/>
    <col min="4886" max="4887" width="3.6640625" style="4" customWidth="1"/>
    <col min="4888" max="4888" width="2.33203125" style="4" customWidth="1"/>
    <col min="4889" max="4890" width="3.6640625" style="4" customWidth="1"/>
    <col min="4891" max="4891" width="2.33203125" style="4" customWidth="1"/>
    <col min="4892" max="4893" width="3.6640625" style="4" customWidth="1"/>
    <col min="4894" max="4894" width="2.33203125" style="4" customWidth="1"/>
    <col min="4895" max="4895" width="3.6640625" style="4" customWidth="1"/>
    <col min="4896" max="4896" width="9.6640625" style="4" customWidth="1"/>
    <col min="4897" max="4906" width="3.6640625" style="4" customWidth="1"/>
    <col min="4907" max="4907" width="11" style="4" customWidth="1"/>
    <col min="4908" max="4910" width="8.88671875" style="4"/>
    <col min="4911" max="4911" width="21" style="4" customWidth="1"/>
    <col min="4912" max="4912" width="24.44140625" style="4" customWidth="1"/>
    <col min="4913" max="5121" width="8.88671875" style="4"/>
    <col min="5122" max="5122" width="3.6640625" style="4" customWidth="1"/>
    <col min="5123" max="5123" width="2.33203125" style="4" customWidth="1"/>
    <col min="5124" max="5125" width="3.6640625" style="4" customWidth="1"/>
    <col min="5126" max="5126" width="2.33203125" style="4" customWidth="1"/>
    <col min="5127" max="5128" width="3.6640625" style="4" customWidth="1"/>
    <col min="5129" max="5129" width="2.33203125" style="4" customWidth="1"/>
    <col min="5130" max="5131" width="3.6640625" style="4" customWidth="1"/>
    <col min="5132" max="5132" width="2.33203125" style="4" customWidth="1"/>
    <col min="5133" max="5134" width="3.6640625" style="4" customWidth="1"/>
    <col min="5135" max="5135" width="2.33203125" style="4" customWidth="1"/>
    <col min="5136" max="5137" width="3.6640625" style="4" customWidth="1"/>
    <col min="5138" max="5138" width="2.33203125" style="4" customWidth="1"/>
    <col min="5139" max="5140" width="3.6640625" style="4" customWidth="1"/>
    <col min="5141" max="5141" width="2.33203125" style="4" customWidth="1"/>
    <col min="5142" max="5143" width="3.6640625" style="4" customWidth="1"/>
    <col min="5144" max="5144" width="2.33203125" style="4" customWidth="1"/>
    <col min="5145" max="5146" width="3.6640625" style="4" customWidth="1"/>
    <col min="5147" max="5147" width="2.33203125" style="4" customWidth="1"/>
    <col min="5148" max="5149" width="3.6640625" style="4" customWidth="1"/>
    <col min="5150" max="5150" width="2.33203125" style="4" customWidth="1"/>
    <col min="5151" max="5151" width="3.6640625" style="4" customWidth="1"/>
    <col min="5152" max="5152" width="9.6640625" style="4" customWidth="1"/>
    <col min="5153" max="5162" width="3.6640625" style="4" customWidth="1"/>
    <col min="5163" max="5163" width="11" style="4" customWidth="1"/>
    <col min="5164" max="5166" width="8.88671875" style="4"/>
    <col min="5167" max="5167" width="21" style="4" customWidth="1"/>
    <col min="5168" max="5168" width="24.44140625" style="4" customWidth="1"/>
    <col min="5169" max="5377" width="8.88671875" style="4"/>
    <col min="5378" max="5378" width="3.6640625" style="4" customWidth="1"/>
    <col min="5379" max="5379" width="2.33203125" style="4" customWidth="1"/>
    <col min="5380" max="5381" width="3.6640625" style="4" customWidth="1"/>
    <col min="5382" max="5382" width="2.33203125" style="4" customWidth="1"/>
    <col min="5383" max="5384" width="3.6640625" style="4" customWidth="1"/>
    <col min="5385" max="5385" width="2.33203125" style="4" customWidth="1"/>
    <col min="5386" max="5387" width="3.6640625" style="4" customWidth="1"/>
    <col min="5388" max="5388" width="2.33203125" style="4" customWidth="1"/>
    <col min="5389" max="5390" width="3.6640625" style="4" customWidth="1"/>
    <col min="5391" max="5391" width="2.33203125" style="4" customWidth="1"/>
    <col min="5392" max="5393" width="3.6640625" style="4" customWidth="1"/>
    <col min="5394" max="5394" width="2.33203125" style="4" customWidth="1"/>
    <col min="5395" max="5396" width="3.6640625" style="4" customWidth="1"/>
    <col min="5397" max="5397" width="2.33203125" style="4" customWidth="1"/>
    <col min="5398" max="5399" width="3.6640625" style="4" customWidth="1"/>
    <col min="5400" max="5400" width="2.33203125" style="4" customWidth="1"/>
    <col min="5401" max="5402" width="3.6640625" style="4" customWidth="1"/>
    <col min="5403" max="5403" width="2.33203125" style="4" customWidth="1"/>
    <col min="5404" max="5405" width="3.6640625" style="4" customWidth="1"/>
    <col min="5406" max="5406" width="2.33203125" style="4" customWidth="1"/>
    <col min="5407" max="5407" width="3.6640625" style="4" customWidth="1"/>
    <col min="5408" max="5408" width="9.6640625" style="4" customWidth="1"/>
    <col min="5409" max="5418" width="3.6640625" style="4" customWidth="1"/>
    <col min="5419" max="5419" width="11" style="4" customWidth="1"/>
    <col min="5420" max="5422" width="8.88671875" style="4"/>
    <col min="5423" max="5423" width="21" style="4" customWidth="1"/>
    <col min="5424" max="5424" width="24.44140625" style="4" customWidth="1"/>
    <col min="5425" max="5633" width="8.88671875" style="4"/>
    <col min="5634" max="5634" width="3.6640625" style="4" customWidth="1"/>
    <col min="5635" max="5635" width="2.33203125" style="4" customWidth="1"/>
    <col min="5636" max="5637" width="3.6640625" style="4" customWidth="1"/>
    <col min="5638" max="5638" width="2.33203125" style="4" customWidth="1"/>
    <col min="5639" max="5640" width="3.6640625" style="4" customWidth="1"/>
    <col min="5641" max="5641" width="2.33203125" style="4" customWidth="1"/>
    <col min="5642" max="5643" width="3.6640625" style="4" customWidth="1"/>
    <col min="5644" max="5644" width="2.33203125" style="4" customWidth="1"/>
    <col min="5645" max="5646" width="3.6640625" style="4" customWidth="1"/>
    <col min="5647" max="5647" width="2.33203125" style="4" customWidth="1"/>
    <col min="5648" max="5649" width="3.6640625" style="4" customWidth="1"/>
    <col min="5650" max="5650" width="2.33203125" style="4" customWidth="1"/>
    <col min="5651" max="5652" width="3.6640625" style="4" customWidth="1"/>
    <col min="5653" max="5653" width="2.33203125" style="4" customWidth="1"/>
    <col min="5654" max="5655" width="3.6640625" style="4" customWidth="1"/>
    <col min="5656" max="5656" width="2.33203125" style="4" customWidth="1"/>
    <col min="5657" max="5658" width="3.6640625" style="4" customWidth="1"/>
    <col min="5659" max="5659" width="2.33203125" style="4" customWidth="1"/>
    <col min="5660" max="5661" width="3.6640625" style="4" customWidth="1"/>
    <col min="5662" max="5662" width="2.33203125" style="4" customWidth="1"/>
    <col min="5663" max="5663" width="3.6640625" style="4" customWidth="1"/>
    <col min="5664" max="5664" width="9.6640625" style="4" customWidth="1"/>
    <col min="5665" max="5674" width="3.6640625" style="4" customWidth="1"/>
    <col min="5675" max="5675" width="11" style="4" customWidth="1"/>
    <col min="5676" max="5678" width="8.88671875" style="4"/>
    <col min="5679" max="5679" width="21" style="4" customWidth="1"/>
    <col min="5680" max="5680" width="24.44140625" style="4" customWidth="1"/>
    <col min="5681" max="5889" width="8.88671875" style="4"/>
    <col min="5890" max="5890" width="3.6640625" style="4" customWidth="1"/>
    <col min="5891" max="5891" width="2.33203125" style="4" customWidth="1"/>
    <col min="5892" max="5893" width="3.6640625" style="4" customWidth="1"/>
    <col min="5894" max="5894" width="2.33203125" style="4" customWidth="1"/>
    <col min="5895" max="5896" width="3.6640625" style="4" customWidth="1"/>
    <col min="5897" max="5897" width="2.33203125" style="4" customWidth="1"/>
    <col min="5898" max="5899" width="3.6640625" style="4" customWidth="1"/>
    <col min="5900" max="5900" width="2.33203125" style="4" customWidth="1"/>
    <col min="5901" max="5902" width="3.6640625" style="4" customWidth="1"/>
    <col min="5903" max="5903" width="2.33203125" style="4" customWidth="1"/>
    <col min="5904" max="5905" width="3.6640625" style="4" customWidth="1"/>
    <col min="5906" max="5906" width="2.33203125" style="4" customWidth="1"/>
    <col min="5907" max="5908" width="3.6640625" style="4" customWidth="1"/>
    <col min="5909" max="5909" width="2.33203125" style="4" customWidth="1"/>
    <col min="5910" max="5911" width="3.6640625" style="4" customWidth="1"/>
    <col min="5912" max="5912" width="2.33203125" style="4" customWidth="1"/>
    <col min="5913" max="5914" width="3.6640625" style="4" customWidth="1"/>
    <col min="5915" max="5915" width="2.33203125" style="4" customWidth="1"/>
    <col min="5916" max="5917" width="3.6640625" style="4" customWidth="1"/>
    <col min="5918" max="5918" width="2.33203125" style="4" customWidth="1"/>
    <col min="5919" max="5919" width="3.6640625" style="4" customWidth="1"/>
    <col min="5920" max="5920" width="9.6640625" style="4" customWidth="1"/>
    <col min="5921" max="5930" width="3.6640625" style="4" customWidth="1"/>
    <col min="5931" max="5931" width="11" style="4" customWidth="1"/>
    <col min="5932" max="5934" width="8.88671875" style="4"/>
    <col min="5935" max="5935" width="21" style="4" customWidth="1"/>
    <col min="5936" max="5936" width="24.44140625" style="4" customWidth="1"/>
    <col min="5937" max="6145" width="8.88671875" style="4"/>
    <col min="6146" max="6146" width="3.6640625" style="4" customWidth="1"/>
    <col min="6147" max="6147" width="2.33203125" style="4" customWidth="1"/>
    <col min="6148" max="6149" width="3.6640625" style="4" customWidth="1"/>
    <col min="6150" max="6150" width="2.33203125" style="4" customWidth="1"/>
    <col min="6151" max="6152" width="3.6640625" style="4" customWidth="1"/>
    <col min="6153" max="6153" width="2.33203125" style="4" customWidth="1"/>
    <col min="6154" max="6155" width="3.6640625" style="4" customWidth="1"/>
    <col min="6156" max="6156" width="2.33203125" style="4" customWidth="1"/>
    <col min="6157" max="6158" width="3.6640625" style="4" customWidth="1"/>
    <col min="6159" max="6159" width="2.33203125" style="4" customWidth="1"/>
    <col min="6160" max="6161" width="3.6640625" style="4" customWidth="1"/>
    <col min="6162" max="6162" width="2.33203125" style="4" customWidth="1"/>
    <col min="6163" max="6164" width="3.6640625" style="4" customWidth="1"/>
    <col min="6165" max="6165" width="2.33203125" style="4" customWidth="1"/>
    <col min="6166" max="6167" width="3.6640625" style="4" customWidth="1"/>
    <col min="6168" max="6168" width="2.33203125" style="4" customWidth="1"/>
    <col min="6169" max="6170" width="3.6640625" style="4" customWidth="1"/>
    <col min="6171" max="6171" width="2.33203125" style="4" customWidth="1"/>
    <col min="6172" max="6173" width="3.6640625" style="4" customWidth="1"/>
    <col min="6174" max="6174" width="2.33203125" style="4" customWidth="1"/>
    <col min="6175" max="6175" width="3.6640625" style="4" customWidth="1"/>
    <col min="6176" max="6176" width="9.6640625" style="4" customWidth="1"/>
    <col min="6177" max="6186" width="3.6640625" style="4" customWidth="1"/>
    <col min="6187" max="6187" width="11" style="4" customWidth="1"/>
    <col min="6188" max="6190" width="8.88671875" style="4"/>
    <col min="6191" max="6191" width="21" style="4" customWidth="1"/>
    <col min="6192" max="6192" width="24.44140625" style="4" customWidth="1"/>
    <col min="6193" max="6401" width="8.88671875" style="4"/>
    <col min="6402" max="6402" width="3.6640625" style="4" customWidth="1"/>
    <col min="6403" max="6403" width="2.33203125" style="4" customWidth="1"/>
    <col min="6404" max="6405" width="3.6640625" style="4" customWidth="1"/>
    <col min="6406" max="6406" width="2.33203125" style="4" customWidth="1"/>
    <col min="6407" max="6408" width="3.6640625" style="4" customWidth="1"/>
    <col min="6409" max="6409" width="2.33203125" style="4" customWidth="1"/>
    <col min="6410" max="6411" width="3.6640625" style="4" customWidth="1"/>
    <col min="6412" max="6412" width="2.33203125" style="4" customWidth="1"/>
    <col min="6413" max="6414" width="3.6640625" style="4" customWidth="1"/>
    <col min="6415" max="6415" width="2.33203125" style="4" customWidth="1"/>
    <col min="6416" max="6417" width="3.6640625" style="4" customWidth="1"/>
    <col min="6418" max="6418" width="2.33203125" style="4" customWidth="1"/>
    <col min="6419" max="6420" width="3.6640625" style="4" customWidth="1"/>
    <col min="6421" max="6421" width="2.33203125" style="4" customWidth="1"/>
    <col min="6422" max="6423" width="3.6640625" style="4" customWidth="1"/>
    <col min="6424" max="6424" width="2.33203125" style="4" customWidth="1"/>
    <col min="6425" max="6426" width="3.6640625" style="4" customWidth="1"/>
    <col min="6427" max="6427" width="2.33203125" style="4" customWidth="1"/>
    <col min="6428" max="6429" width="3.6640625" style="4" customWidth="1"/>
    <col min="6430" max="6430" width="2.33203125" style="4" customWidth="1"/>
    <col min="6431" max="6431" width="3.6640625" style="4" customWidth="1"/>
    <col min="6432" max="6432" width="9.6640625" style="4" customWidth="1"/>
    <col min="6433" max="6442" width="3.6640625" style="4" customWidth="1"/>
    <col min="6443" max="6443" width="11" style="4" customWidth="1"/>
    <col min="6444" max="6446" width="8.88671875" style="4"/>
    <col min="6447" max="6447" width="21" style="4" customWidth="1"/>
    <col min="6448" max="6448" width="24.44140625" style="4" customWidth="1"/>
    <col min="6449" max="6657" width="8.88671875" style="4"/>
    <col min="6658" max="6658" width="3.6640625" style="4" customWidth="1"/>
    <col min="6659" max="6659" width="2.33203125" style="4" customWidth="1"/>
    <col min="6660" max="6661" width="3.6640625" style="4" customWidth="1"/>
    <col min="6662" max="6662" width="2.33203125" style="4" customWidth="1"/>
    <col min="6663" max="6664" width="3.6640625" style="4" customWidth="1"/>
    <col min="6665" max="6665" width="2.33203125" style="4" customWidth="1"/>
    <col min="6666" max="6667" width="3.6640625" style="4" customWidth="1"/>
    <col min="6668" max="6668" width="2.33203125" style="4" customWidth="1"/>
    <col min="6669" max="6670" width="3.6640625" style="4" customWidth="1"/>
    <col min="6671" max="6671" width="2.33203125" style="4" customWidth="1"/>
    <col min="6672" max="6673" width="3.6640625" style="4" customWidth="1"/>
    <col min="6674" max="6674" width="2.33203125" style="4" customWidth="1"/>
    <col min="6675" max="6676" width="3.6640625" style="4" customWidth="1"/>
    <col min="6677" max="6677" width="2.33203125" style="4" customWidth="1"/>
    <col min="6678" max="6679" width="3.6640625" style="4" customWidth="1"/>
    <col min="6680" max="6680" width="2.33203125" style="4" customWidth="1"/>
    <col min="6681" max="6682" width="3.6640625" style="4" customWidth="1"/>
    <col min="6683" max="6683" width="2.33203125" style="4" customWidth="1"/>
    <col min="6684" max="6685" width="3.6640625" style="4" customWidth="1"/>
    <col min="6686" max="6686" width="2.33203125" style="4" customWidth="1"/>
    <col min="6687" max="6687" width="3.6640625" style="4" customWidth="1"/>
    <col min="6688" max="6688" width="9.6640625" style="4" customWidth="1"/>
    <col min="6689" max="6698" width="3.6640625" style="4" customWidth="1"/>
    <col min="6699" max="6699" width="11" style="4" customWidth="1"/>
    <col min="6700" max="6702" width="8.88671875" style="4"/>
    <col min="6703" max="6703" width="21" style="4" customWidth="1"/>
    <col min="6704" max="6704" width="24.44140625" style="4" customWidth="1"/>
    <col min="6705" max="6913" width="8.88671875" style="4"/>
    <col min="6914" max="6914" width="3.6640625" style="4" customWidth="1"/>
    <col min="6915" max="6915" width="2.33203125" style="4" customWidth="1"/>
    <col min="6916" max="6917" width="3.6640625" style="4" customWidth="1"/>
    <col min="6918" max="6918" width="2.33203125" style="4" customWidth="1"/>
    <col min="6919" max="6920" width="3.6640625" style="4" customWidth="1"/>
    <col min="6921" max="6921" width="2.33203125" style="4" customWidth="1"/>
    <col min="6922" max="6923" width="3.6640625" style="4" customWidth="1"/>
    <col min="6924" max="6924" width="2.33203125" style="4" customWidth="1"/>
    <col min="6925" max="6926" width="3.6640625" style="4" customWidth="1"/>
    <col min="6927" max="6927" width="2.33203125" style="4" customWidth="1"/>
    <col min="6928" max="6929" width="3.6640625" style="4" customWidth="1"/>
    <col min="6930" max="6930" width="2.33203125" style="4" customWidth="1"/>
    <col min="6931" max="6932" width="3.6640625" style="4" customWidth="1"/>
    <col min="6933" max="6933" width="2.33203125" style="4" customWidth="1"/>
    <col min="6934" max="6935" width="3.6640625" style="4" customWidth="1"/>
    <col min="6936" max="6936" width="2.33203125" style="4" customWidth="1"/>
    <col min="6937" max="6938" width="3.6640625" style="4" customWidth="1"/>
    <col min="6939" max="6939" width="2.33203125" style="4" customWidth="1"/>
    <col min="6940" max="6941" width="3.6640625" style="4" customWidth="1"/>
    <col min="6942" max="6942" width="2.33203125" style="4" customWidth="1"/>
    <col min="6943" max="6943" width="3.6640625" style="4" customWidth="1"/>
    <col min="6944" max="6944" width="9.6640625" style="4" customWidth="1"/>
    <col min="6945" max="6954" width="3.6640625" style="4" customWidth="1"/>
    <col min="6955" max="6955" width="11" style="4" customWidth="1"/>
    <col min="6956" max="6958" width="8.88671875" style="4"/>
    <col min="6959" max="6959" width="21" style="4" customWidth="1"/>
    <col min="6960" max="6960" width="24.44140625" style="4" customWidth="1"/>
    <col min="6961" max="7169" width="8.88671875" style="4"/>
    <col min="7170" max="7170" width="3.6640625" style="4" customWidth="1"/>
    <col min="7171" max="7171" width="2.33203125" style="4" customWidth="1"/>
    <col min="7172" max="7173" width="3.6640625" style="4" customWidth="1"/>
    <col min="7174" max="7174" width="2.33203125" style="4" customWidth="1"/>
    <col min="7175" max="7176" width="3.6640625" style="4" customWidth="1"/>
    <col min="7177" max="7177" width="2.33203125" style="4" customWidth="1"/>
    <col min="7178" max="7179" width="3.6640625" style="4" customWidth="1"/>
    <col min="7180" max="7180" width="2.33203125" style="4" customWidth="1"/>
    <col min="7181" max="7182" width="3.6640625" style="4" customWidth="1"/>
    <col min="7183" max="7183" width="2.33203125" style="4" customWidth="1"/>
    <col min="7184" max="7185" width="3.6640625" style="4" customWidth="1"/>
    <col min="7186" max="7186" width="2.33203125" style="4" customWidth="1"/>
    <col min="7187" max="7188" width="3.6640625" style="4" customWidth="1"/>
    <col min="7189" max="7189" width="2.33203125" style="4" customWidth="1"/>
    <col min="7190" max="7191" width="3.6640625" style="4" customWidth="1"/>
    <col min="7192" max="7192" width="2.33203125" style="4" customWidth="1"/>
    <col min="7193" max="7194" width="3.6640625" style="4" customWidth="1"/>
    <col min="7195" max="7195" width="2.33203125" style="4" customWidth="1"/>
    <col min="7196" max="7197" width="3.6640625" style="4" customWidth="1"/>
    <col min="7198" max="7198" width="2.33203125" style="4" customWidth="1"/>
    <col min="7199" max="7199" width="3.6640625" style="4" customWidth="1"/>
    <col min="7200" max="7200" width="9.6640625" style="4" customWidth="1"/>
    <col min="7201" max="7210" width="3.6640625" style="4" customWidth="1"/>
    <col min="7211" max="7211" width="11" style="4" customWidth="1"/>
    <col min="7212" max="7214" width="8.88671875" style="4"/>
    <col min="7215" max="7215" width="21" style="4" customWidth="1"/>
    <col min="7216" max="7216" width="24.44140625" style="4" customWidth="1"/>
    <col min="7217" max="7425" width="8.88671875" style="4"/>
    <col min="7426" max="7426" width="3.6640625" style="4" customWidth="1"/>
    <col min="7427" max="7427" width="2.33203125" style="4" customWidth="1"/>
    <col min="7428" max="7429" width="3.6640625" style="4" customWidth="1"/>
    <col min="7430" max="7430" width="2.33203125" style="4" customWidth="1"/>
    <col min="7431" max="7432" width="3.6640625" style="4" customWidth="1"/>
    <col min="7433" max="7433" width="2.33203125" style="4" customWidth="1"/>
    <col min="7434" max="7435" width="3.6640625" style="4" customWidth="1"/>
    <col min="7436" max="7436" width="2.33203125" style="4" customWidth="1"/>
    <col min="7437" max="7438" width="3.6640625" style="4" customWidth="1"/>
    <col min="7439" max="7439" width="2.33203125" style="4" customWidth="1"/>
    <col min="7440" max="7441" width="3.6640625" style="4" customWidth="1"/>
    <col min="7442" max="7442" width="2.33203125" style="4" customWidth="1"/>
    <col min="7443" max="7444" width="3.6640625" style="4" customWidth="1"/>
    <col min="7445" max="7445" width="2.33203125" style="4" customWidth="1"/>
    <col min="7446" max="7447" width="3.6640625" style="4" customWidth="1"/>
    <col min="7448" max="7448" width="2.33203125" style="4" customWidth="1"/>
    <col min="7449" max="7450" width="3.6640625" style="4" customWidth="1"/>
    <col min="7451" max="7451" width="2.33203125" style="4" customWidth="1"/>
    <col min="7452" max="7453" width="3.6640625" style="4" customWidth="1"/>
    <col min="7454" max="7454" width="2.33203125" style="4" customWidth="1"/>
    <col min="7455" max="7455" width="3.6640625" style="4" customWidth="1"/>
    <col min="7456" max="7456" width="9.6640625" style="4" customWidth="1"/>
    <col min="7457" max="7466" width="3.6640625" style="4" customWidth="1"/>
    <col min="7467" max="7467" width="11" style="4" customWidth="1"/>
    <col min="7468" max="7470" width="8.88671875" style="4"/>
    <col min="7471" max="7471" width="21" style="4" customWidth="1"/>
    <col min="7472" max="7472" width="24.44140625" style="4" customWidth="1"/>
    <col min="7473" max="7681" width="8.88671875" style="4"/>
    <col min="7682" max="7682" width="3.6640625" style="4" customWidth="1"/>
    <col min="7683" max="7683" width="2.33203125" style="4" customWidth="1"/>
    <col min="7684" max="7685" width="3.6640625" style="4" customWidth="1"/>
    <col min="7686" max="7686" width="2.33203125" style="4" customWidth="1"/>
    <col min="7687" max="7688" width="3.6640625" style="4" customWidth="1"/>
    <col min="7689" max="7689" width="2.33203125" style="4" customWidth="1"/>
    <col min="7690" max="7691" width="3.6640625" style="4" customWidth="1"/>
    <col min="7692" max="7692" width="2.33203125" style="4" customWidth="1"/>
    <col min="7693" max="7694" width="3.6640625" style="4" customWidth="1"/>
    <col min="7695" max="7695" width="2.33203125" style="4" customWidth="1"/>
    <col min="7696" max="7697" width="3.6640625" style="4" customWidth="1"/>
    <col min="7698" max="7698" width="2.33203125" style="4" customWidth="1"/>
    <col min="7699" max="7700" width="3.6640625" style="4" customWidth="1"/>
    <col min="7701" max="7701" width="2.33203125" style="4" customWidth="1"/>
    <col min="7702" max="7703" width="3.6640625" style="4" customWidth="1"/>
    <col min="7704" max="7704" width="2.33203125" style="4" customWidth="1"/>
    <col min="7705" max="7706" width="3.6640625" style="4" customWidth="1"/>
    <col min="7707" max="7707" width="2.33203125" style="4" customWidth="1"/>
    <col min="7708" max="7709" width="3.6640625" style="4" customWidth="1"/>
    <col min="7710" max="7710" width="2.33203125" style="4" customWidth="1"/>
    <col min="7711" max="7711" width="3.6640625" style="4" customWidth="1"/>
    <col min="7712" max="7712" width="9.6640625" style="4" customWidth="1"/>
    <col min="7713" max="7722" width="3.6640625" style="4" customWidth="1"/>
    <col min="7723" max="7723" width="11" style="4" customWidth="1"/>
    <col min="7724" max="7726" width="8.88671875" style="4"/>
    <col min="7727" max="7727" width="21" style="4" customWidth="1"/>
    <col min="7728" max="7728" width="24.44140625" style="4" customWidth="1"/>
    <col min="7729" max="7937" width="8.88671875" style="4"/>
    <col min="7938" max="7938" width="3.6640625" style="4" customWidth="1"/>
    <col min="7939" max="7939" width="2.33203125" style="4" customWidth="1"/>
    <col min="7940" max="7941" width="3.6640625" style="4" customWidth="1"/>
    <col min="7942" max="7942" width="2.33203125" style="4" customWidth="1"/>
    <col min="7943" max="7944" width="3.6640625" style="4" customWidth="1"/>
    <col min="7945" max="7945" width="2.33203125" style="4" customWidth="1"/>
    <col min="7946" max="7947" width="3.6640625" style="4" customWidth="1"/>
    <col min="7948" max="7948" width="2.33203125" style="4" customWidth="1"/>
    <col min="7949" max="7950" width="3.6640625" style="4" customWidth="1"/>
    <col min="7951" max="7951" width="2.33203125" style="4" customWidth="1"/>
    <col min="7952" max="7953" width="3.6640625" style="4" customWidth="1"/>
    <col min="7954" max="7954" width="2.33203125" style="4" customWidth="1"/>
    <col min="7955" max="7956" width="3.6640625" style="4" customWidth="1"/>
    <col min="7957" max="7957" width="2.33203125" style="4" customWidth="1"/>
    <col min="7958" max="7959" width="3.6640625" style="4" customWidth="1"/>
    <col min="7960" max="7960" width="2.33203125" style="4" customWidth="1"/>
    <col min="7961" max="7962" width="3.6640625" style="4" customWidth="1"/>
    <col min="7963" max="7963" width="2.33203125" style="4" customWidth="1"/>
    <col min="7964" max="7965" width="3.6640625" style="4" customWidth="1"/>
    <col min="7966" max="7966" width="2.33203125" style="4" customWidth="1"/>
    <col min="7967" max="7967" width="3.6640625" style="4" customWidth="1"/>
    <col min="7968" max="7968" width="9.6640625" style="4" customWidth="1"/>
    <col min="7969" max="7978" width="3.6640625" style="4" customWidth="1"/>
    <col min="7979" max="7979" width="11" style="4" customWidth="1"/>
    <col min="7980" max="7982" width="8.88671875" style="4"/>
    <col min="7983" max="7983" width="21" style="4" customWidth="1"/>
    <col min="7984" max="7984" width="24.44140625" style="4" customWidth="1"/>
    <col min="7985" max="8193" width="8.88671875" style="4"/>
    <col min="8194" max="8194" width="3.6640625" style="4" customWidth="1"/>
    <col min="8195" max="8195" width="2.33203125" style="4" customWidth="1"/>
    <col min="8196" max="8197" width="3.6640625" style="4" customWidth="1"/>
    <col min="8198" max="8198" width="2.33203125" style="4" customWidth="1"/>
    <col min="8199" max="8200" width="3.6640625" style="4" customWidth="1"/>
    <col min="8201" max="8201" width="2.33203125" style="4" customWidth="1"/>
    <col min="8202" max="8203" width="3.6640625" style="4" customWidth="1"/>
    <col min="8204" max="8204" width="2.33203125" style="4" customWidth="1"/>
    <col min="8205" max="8206" width="3.6640625" style="4" customWidth="1"/>
    <col min="8207" max="8207" width="2.33203125" style="4" customWidth="1"/>
    <col min="8208" max="8209" width="3.6640625" style="4" customWidth="1"/>
    <col min="8210" max="8210" width="2.33203125" style="4" customWidth="1"/>
    <col min="8211" max="8212" width="3.6640625" style="4" customWidth="1"/>
    <col min="8213" max="8213" width="2.33203125" style="4" customWidth="1"/>
    <col min="8214" max="8215" width="3.6640625" style="4" customWidth="1"/>
    <col min="8216" max="8216" width="2.33203125" style="4" customWidth="1"/>
    <col min="8217" max="8218" width="3.6640625" style="4" customWidth="1"/>
    <col min="8219" max="8219" width="2.33203125" style="4" customWidth="1"/>
    <col min="8220" max="8221" width="3.6640625" style="4" customWidth="1"/>
    <col min="8222" max="8222" width="2.33203125" style="4" customWidth="1"/>
    <col min="8223" max="8223" width="3.6640625" style="4" customWidth="1"/>
    <col min="8224" max="8224" width="9.6640625" style="4" customWidth="1"/>
    <col min="8225" max="8234" width="3.6640625" style="4" customWidth="1"/>
    <col min="8235" max="8235" width="11" style="4" customWidth="1"/>
    <col min="8236" max="8238" width="8.88671875" style="4"/>
    <col min="8239" max="8239" width="21" style="4" customWidth="1"/>
    <col min="8240" max="8240" width="24.44140625" style="4" customWidth="1"/>
    <col min="8241" max="8449" width="8.88671875" style="4"/>
    <col min="8450" max="8450" width="3.6640625" style="4" customWidth="1"/>
    <col min="8451" max="8451" width="2.33203125" style="4" customWidth="1"/>
    <col min="8452" max="8453" width="3.6640625" style="4" customWidth="1"/>
    <col min="8454" max="8454" width="2.33203125" style="4" customWidth="1"/>
    <col min="8455" max="8456" width="3.6640625" style="4" customWidth="1"/>
    <col min="8457" max="8457" width="2.33203125" style="4" customWidth="1"/>
    <col min="8458" max="8459" width="3.6640625" style="4" customWidth="1"/>
    <col min="8460" max="8460" width="2.33203125" style="4" customWidth="1"/>
    <col min="8461" max="8462" width="3.6640625" style="4" customWidth="1"/>
    <col min="8463" max="8463" width="2.33203125" style="4" customWidth="1"/>
    <col min="8464" max="8465" width="3.6640625" style="4" customWidth="1"/>
    <col min="8466" max="8466" width="2.33203125" style="4" customWidth="1"/>
    <col min="8467" max="8468" width="3.6640625" style="4" customWidth="1"/>
    <col min="8469" max="8469" width="2.33203125" style="4" customWidth="1"/>
    <col min="8470" max="8471" width="3.6640625" style="4" customWidth="1"/>
    <col min="8472" max="8472" width="2.33203125" style="4" customWidth="1"/>
    <col min="8473" max="8474" width="3.6640625" style="4" customWidth="1"/>
    <col min="8475" max="8475" width="2.33203125" style="4" customWidth="1"/>
    <col min="8476" max="8477" width="3.6640625" style="4" customWidth="1"/>
    <col min="8478" max="8478" width="2.33203125" style="4" customWidth="1"/>
    <col min="8479" max="8479" width="3.6640625" style="4" customWidth="1"/>
    <col min="8480" max="8480" width="9.6640625" style="4" customWidth="1"/>
    <col min="8481" max="8490" width="3.6640625" style="4" customWidth="1"/>
    <col min="8491" max="8491" width="11" style="4" customWidth="1"/>
    <col min="8492" max="8494" width="8.88671875" style="4"/>
    <col min="8495" max="8495" width="21" style="4" customWidth="1"/>
    <col min="8496" max="8496" width="24.44140625" style="4" customWidth="1"/>
    <col min="8497" max="8705" width="8.88671875" style="4"/>
    <col min="8706" max="8706" width="3.6640625" style="4" customWidth="1"/>
    <col min="8707" max="8707" width="2.33203125" style="4" customWidth="1"/>
    <col min="8708" max="8709" width="3.6640625" style="4" customWidth="1"/>
    <col min="8710" max="8710" width="2.33203125" style="4" customWidth="1"/>
    <col min="8711" max="8712" width="3.6640625" style="4" customWidth="1"/>
    <col min="8713" max="8713" width="2.33203125" style="4" customWidth="1"/>
    <col min="8714" max="8715" width="3.6640625" style="4" customWidth="1"/>
    <col min="8716" max="8716" width="2.33203125" style="4" customWidth="1"/>
    <col min="8717" max="8718" width="3.6640625" style="4" customWidth="1"/>
    <col min="8719" max="8719" width="2.33203125" style="4" customWidth="1"/>
    <col min="8720" max="8721" width="3.6640625" style="4" customWidth="1"/>
    <col min="8722" max="8722" width="2.33203125" style="4" customWidth="1"/>
    <col min="8723" max="8724" width="3.6640625" style="4" customWidth="1"/>
    <col min="8725" max="8725" width="2.33203125" style="4" customWidth="1"/>
    <col min="8726" max="8727" width="3.6640625" style="4" customWidth="1"/>
    <col min="8728" max="8728" width="2.33203125" style="4" customWidth="1"/>
    <col min="8729" max="8730" width="3.6640625" style="4" customWidth="1"/>
    <col min="8731" max="8731" width="2.33203125" style="4" customWidth="1"/>
    <col min="8732" max="8733" width="3.6640625" style="4" customWidth="1"/>
    <col min="8734" max="8734" width="2.33203125" style="4" customWidth="1"/>
    <col min="8735" max="8735" width="3.6640625" style="4" customWidth="1"/>
    <col min="8736" max="8736" width="9.6640625" style="4" customWidth="1"/>
    <col min="8737" max="8746" width="3.6640625" style="4" customWidth="1"/>
    <col min="8747" max="8747" width="11" style="4" customWidth="1"/>
    <col min="8748" max="8750" width="8.88671875" style="4"/>
    <col min="8751" max="8751" width="21" style="4" customWidth="1"/>
    <col min="8752" max="8752" width="24.44140625" style="4" customWidth="1"/>
    <col min="8753" max="8961" width="8.88671875" style="4"/>
    <col min="8962" max="8962" width="3.6640625" style="4" customWidth="1"/>
    <col min="8963" max="8963" width="2.33203125" style="4" customWidth="1"/>
    <col min="8964" max="8965" width="3.6640625" style="4" customWidth="1"/>
    <col min="8966" max="8966" width="2.33203125" style="4" customWidth="1"/>
    <col min="8967" max="8968" width="3.6640625" style="4" customWidth="1"/>
    <col min="8969" max="8969" width="2.33203125" style="4" customWidth="1"/>
    <col min="8970" max="8971" width="3.6640625" style="4" customWidth="1"/>
    <col min="8972" max="8972" width="2.33203125" style="4" customWidth="1"/>
    <col min="8973" max="8974" width="3.6640625" style="4" customWidth="1"/>
    <col min="8975" max="8975" width="2.33203125" style="4" customWidth="1"/>
    <col min="8976" max="8977" width="3.6640625" style="4" customWidth="1"/>
    <col min="8978" max="8978" width="2.33203125" style="4" customWidth="1"/>
    <col min="8979" max="8980" width="3.6640625" style="4" customWidth="1"/>
    <col min="8981" max="8981" width="2.33203125" style="4" customWidth="1"/>
    <col min="8982" max="8983" width="3.6640625" style="4" customWidth="1"/>
    <col min="8984" max="8984" width="2.33203125" style="4" customWidth="1"/>
    <col min="8985" max="8986" width="3.6640625" style="4" customWidth="1"/>
    <col min="8987" max="8987" width="2.33203125" style="4" customWidth="1"/>
    <col min="8988" max="8989" width="3.6640625" style="4" customWidth="1"/>
    <col min="8990" max="8990" width="2.33203125" style="4" customWidth="1"/>
    <col min="8991" max="8991" width="3.6640625" style="4" customWidth="1"/>
    <col min="8992" max="8992" width="9.6640625" style="4" customWidth="1"/>
    <col min="8993" max="9002" width="3.6640625" style="4" customWidth="1"/>
    <col min="9003" max="9003" width="11" style="4" customWidth="1"/>
    <col min="9004" max="9006" width="8.88671875" style="4"/>
    <col min="9007" max="9007" width="21" style="4" customWidth="1"/>
    <col min="9008" max="9008" width="24.44140625" style="4" customWidth="1"/>
    <col min="9009" max="9217" width="8.88671875" style="4"/>
    <col min="9218" max="9218" width="3.6640625" style="4" customWidth="1"/>
    <col min="9219" max="9219" width="2.33203125" style="4" customWidth="1"/>
    <col min="9220" max="9221" width="3.6640625" style="4" customWidth="1"/>
    <col min="9222" max="9222" width="2.33203125" style="4" customWidth="1"/>
    <col min="9223" max="9224" width="3.6640625" style="4" customWidth="1"/>
    <col min="9225" max="9225" width="2.33203125" style="4" customWidth="1"/>
    <col min="9226" max="9227" width="3.6640625" style="4" customWidth="1"/>
    <col min="9228" max="9228" width="2.33203125" style="4" customWidth="1"/>
    <col min="9229" max="9230" width="3.6640625" style="4" customWidth="1"/>
    <col min="9231" max="9231" width="2.33203125" style="4" customWidth="1"/>
    <col min="9232" max="9233" width="3.6640625" style="4" customWidth="1"/>
    <col min="9234" max="9234" width="2.33203125" style="4" customWidth="1"/>
    <col min="9235" max="9236" width="3.6640625" style="4" customWidth="1"/>
    <col min="9237" max="9237" width="2.33203125" style="4" customWidth="1"/>
    <col min="9238" max="9239" width="3.6640625" style="4" customWidth="1"/>
    <col min="9240" max="9240" width="2.33203125" style="4" customWidth="1"/>
    <col min="9241" max="9242" width="3.6640625" style="4" customWidth="1"/>
    <col min="9243" max="9243" width="2.33203125" style="4" customWidth="1"/>
    <col min="9244" max="9245" width="3.6640625" style="4" customWidth="1"/>
    <col min="9246" max="9246" width="2.33203125" style="4" customWidth="1"/>
    <col min="9247" max="9247" width="3.6640625" style="4" customWidth="1"/>
    <col min="9248" max="9248" width="9.6640625" style="4" customWidth="1"/>
    <col min="9249" max="9258" width="3.6640625" style="4" customWidth="1"/>
    <col min="9259" max="9259" width="11" style="4" customWidth="1"/>
    <col min="9260" max="9262" width="8.88671875" style="4"/>
    <col min="9263" max="9263" width="21" style="4" customWidth="1"/>
    <col min="9264" max="9264" width="24.44140625" style="4" customWidth="1"/>
    <col min="9265" max="9473" width="8.88671875" style="4"/>
    <col min="9474" max="9474" width="3.6640625" style="4" customWidth="1"/>
    <col min="9475" max="9475" width="2.33203125" style="4" customWidth="1"/>
    <col min="9476" max="9477" width="3.6640625" style="4" customWidth="1"/>
    <col min="9478" max="9478" width="2.33203125" style="4" customWidth="1"/>
    <col min="9479" max="9480" width="3.6640625" style="4" customWidth="1"/>
    <col min="9481" max="9481" width="2.33203125" style="4" customWidth="1"/>
    <col min="9482" max="9483" width="3.6640625" style="4" customWidth="1"/>
    <col min="9484" max="9484" width="2.33203125" style="4" customWidth="1"/>
    <col min="9485" max="9486" width="3.6640625" style="4" customWidth="1"/>
    <col min="9487" max="9487" width="2.33203125" style="4" customWidth="1"/>
    <col min="9488" max="9489" width="3.6640625" style="4" customWidth="1"/>
    <col min="9490" max="9490" width="2.33203125" style="4" customWidth="1"/>
    <col min="9491" max="9492" width="3.6640625" style="4" customWidth="1"/>
    <col min="9493" max="9493" width="2.33203125" style="4" customWidth="1"/>
    <col min="9494" max="9495" width="3.6640625" style="4" customWidth="1"/>
    <col min="9496" max="9496" width="2.33203125" style="4" customWidth="1"/>
    <col min="9497" max="9498" width="3.6640625" style="4" customWidth="1"/>
    <col min="9499" max="9499" width="2.33203125" style="4" customWidth="1"/>
    <col min="9500" max="9501" width="3.6640625" style="4" customWidth="1"/>
    <col min="9502" max="9502" width="2.33203125" style="4" customWidth="1"/>
    <col min="9503" max="9503" width="3.6640625" style="4" customWidth="1"/>
    <col min="9504" max="9504" width="9.6640625" style="4" customWidth="1"/>
    <col min="9505" max="9514" width="3.6640625" style="4" customWidth="1"/>
    <col min="9515" max="9515" width="11" style="4" customWidth="1"/>
    <col min="9516" max="9518" width="8.88671875" style="4"/>
    <col min="9519" max="9519" width="21" style="4" customWidth="1"/>
    <col min="9520" max="9520" width="24.44140625" style="4" customWidth="1"/>
    <col min="9521" max="9729" width="8.88671875" style="4"/>
    <col min="9730" max="9730" width="3.6640625" style="4" customWidth="1"/>
    <col min="9731" max="9731" width="2.33203125" style="4" customWidth="1"/>
    <col min="9732" max="9733" width="3.6640625" style="4" customWidth="1"/>
    <col min="9734" max="9734" width="2.33203125" style="4" customWidth="1"/>
    <col min="9735" max="9736" width="3.6640625" style="4" customWidth="1"/>
    <col min="9737" max="9737" width="2.33203125" style="4" customWidth="1"/>
    <col min="9738" max="9739" width="3.6640625" style="4" customWidth="1"/>
    <col min="9740" max="9740" width="2.33203125" style="4" customWidth="1"/>
    <col min="9741" max="9742" width="3.6640625" style="4" customWidth="1"/>
    <col min="9743" max="9743" width="2.33203125" style="4" customWidth="1"/>
    <col min="9744" max="9745" width="3.6640625" style="4" customWidth="1"/>
    <col min="9746" max="9746" width="2.33203125" style="4" customWidth="1"/>
    <col min="9747" max="9748" width="3.6640625" style="4" customWidth="1"/>
    <col min="9749" max="9749" width="2.33203125" style="4" customWidth="1"/>
    <col min="9750" max="9751" width="3.6640625" style="4" customWidth="1"/>
    <col min="9752" max="9752" width="2.33203125" style="4" customWidth="1"/>
    <col min="9753" max="9754" width="3.6640625" style="4" customWidth="1"/>
    <col min="9755" max="9755" width="2.33203125" style="4" customWidth="1"/>
    <col min="9756" max="9757" width="3.6640625" style="4" customWidth="1"/>
    <col min="9758" max="9758" width="2.33203125" style="4" customWidth="1"/>
    <col min="9759" max="9759" width="3.6640625" style="4" customWidth="1"/>
    <col min="9760" max="9760" width="9.6640625" style="4" customWidth="1"/>
    <col min="9761" max="9770" width="3.6640625" style="4" customWidth="1"/>
    <col min="9771" max="9771" width="11" style="4" customWidth="1"/>
    <col min="9772" max="9774" width="8.88671875" style="4"/>
    <col min="9775" max="9775" width="21" style="4" customWidth="1"/>
    <col min="9776" max="9776" width="24.44140625" style="4" customWidth="1"/>
    <col min="9777" max="9985" width="8.88671875" style="4"/>
    <col min="9986" max="9986" width="3.6640625" style="4" customWidth="1"/>
    <col min="9987" max="9987" width="2.33203125" style="4" customWidth="1"/>
    <col min="9988" max="9989" width="3.6640625" style="4" customWidth="1"/>
    <col min="9990" max="9990" width="2.33203125" style="4" customWidth="1"/>
    <col min="9991" max="9992" width="3.6640625" style="4" customWidth="1"/>
    <col min="9993" max="9993" width="2.33203125" style="4" customWidth="1"/>
    <col min="9994" max="9995" width="3.6640625" style="4" customWidth="1"/>
    <col min="9996" max="9996" width="2.33203125" style="4" customWidth="1"/>
    <col min="9997" max="9998" width="3.6640625" style="4" customWidth="1"/>
    <col min="9999" max="9999" width="2.33203125" style="4" customWidth="1"/>
    <col min="10000" max="10001" width="3.6640625" style="4" customWidth="1"/>
    <col min="10002" max="10002" width="2.33203125" style="4" customWidth="1"/>
    <col min="10003" max="10004" width="3.6640625" style="4" customWidth="1"/>
    <col min="10005" max="10005" width="2.33203125" style="4" customWidth="1"/>
    <col min="10006" max="10007" width="3.6640625" style="4" customWidth="1"/>
    <col min="10008" max="10008" width="2.33203125" style="4" customWidth="1"/>
    <col min="10009" max="10010" width="3.6640625" style="4" customWidth="1"/>
    <col min="10011" max="10011" width="2.33203125" style="4" customWidth="1"/>
    <col min="10012" max="10013" width="3.6640625" style="4" customWidth="1"/>
    <col min="10014" max="10014" width="2.33203125" style="4" customWidth="1"/>
    <col min="10015" max="10015" width="3.6640625" style="4" customWidth="1"/>
    <col min="10016" max="10016" width="9.6640625" style="4" customWidth="1"/>
    <col min="10017" max="10026" width="3.6640625" style="4" customWidth="1"/>
    <col min="10027" max="10027" width="11" style="4" customWidth="1"/>
    <col min="10028" max="10030" width="8.88671875" style="4"/>
    <col min="10031" max="10031" width="21" style="4" customWidth="1"/>
    <col min="10032" max="10032" width="24.44140625" style="4" customWidth="1"/>
    <col min="10033" max="10241" width="8.88671875" style="4"/>
    <col min="10242" max="10242" width="3.6640625" style="4" customWidth="1"/>
    <col min="10243" max="10243" width="2.33203125" style="4" customWidth="1"/>
    <col min="10244" max="10245" width="3.6640625" style="4" customWidth="1"/>
    <col min="10246" max="10246" width="2.33203125" style="4" customWidth="1"/>
    <col min="10247" max="10248" width="3.6640625" style="4" customWidth="1"/>
    <col min="10249" max="10249" width="2.33203125" style="4" customWidth="1"/>
    <col min="10250" max="10251" width="3.6640625" style="4" customWidth="1"/>
    <col min="10252" max="10252" width="2.33203125" style="4" customWidth="1"/>
    <col min="10253" max="10254" width="3.6640625" style="4" customWidth="1"/>
    <col min="10255" max="10255" width="2.33203125" style="4" customWidth="1"/>
    <col min="10256" max="10257" width="3.6640625" style="4" customWidth="1"/>
    <col min="10258" max="10258" width="2.33203125" style="4" customWidth="1"/>
    <col min="10259" max="10260" width="3.6640625" style="4" customWidth="1"/>
    <col min="10261" max="10261" width="2.33203125" style="4" customWidth="1"/>
    <col min="10262" max="10263" width="3.6640625" style="4" customWidth="1"/>
    <col min="10264" max="10264" width="2.33203125" style="4" customWidth="1"/>
    <col min="10265" max="10266" width="3.6640625" style="4" customWidth="1"/>
    <col min="10267" max="10267" width="2.33203125" style="4" customWidth="1"/>
    <col min="10268" max="10269" width="3.6640625" style="4" customWidth="1"/>
    <col min="10270" max="10270" width="2.33203125" style="4" customWidth="1"/>
    <col min="10271" max="10271" width="3.6640625" style="4" customWidth="1"/>
    <col min="10272" max="10272" width="9.6640625" style="4" customWidth="1"/>
    <col min="10273" max="10282" width="3.6640625" style="4" customWidth="1"/>
    <col min="10283" max="10283" width="11" style="4" customWidth="1"/>
    <col min="10284" max="10286" width="8.88671875" style="4"/>
    <col min="10287" max="10287" width="21" style="4" customWidth="1"/>
    <col min="10288" max="10288" width="24.44140625" style="4" customWidth="1"/>
    <col min="10289" max="10497" width="8.88671875" style="4"/>
    <col min="10498" max="10498" width="3.6640625" style="4" customWidth="1"/>
    <col min="10499" max="10499" width="2.33203125" style="4" customWidth="1"/>
    <col min="10500" max="10501" width="3.6640625" style="4" customWidth="1"/>
    <col min="10502" max="10502" width="2.33203125" style="4" customWidth="1"/>
    <col min="10503" max="10504" width="3.6640625" style="4" customWidth="1"/>
    <col min="10505" max="10505" width="2.33203125" style="4" customWidth="1"/>
    <col min="10506" max="10507" width="3.6640625" style="4" customWidth="1"/>
    <col min="10508" max="10508" width="2.33203125" style="4" customWidth="1"/>
    <col min="10509" max="10510" width="3.6640625" style="4" customWidth="1"/>
    <col min="10511" max="10511" width="2.33203125" style="4" customWidth="1"/>
    <col min="10512" max="10513" width="3.6640625" style="4" customWidth="1"/>
    <col min="10514" max="10514" width="2.33203125" style="4" customWidth="1"/>
    <col min="10515" max="10516" width="3.6640625" style="4" customWidth="1"/>
    <col min="10517" max="10517" width="2.33203125" style="4" customWidth="1"/>
    <col min="10518" max="10519" width="3.6640625" style="4" customWidth="1"/>
    <col min="10520" max="10520" width="2.33203125" style="4" customWidth="1"/>
    <col min="10521" max="10522" width="3.6640625" style="4" customWidth="1"/>
    <col min="10523" max="10523" width="2.33203125" style="4" customWidth="1"/>
    <col min="10524" max="10525" width="3.6640625" style="4" customWidth="1"/>
    <col min="10526" max="10526" width="2.33203125" style="4" customWidth="1"/>
    <col min="10527" max="10527" width="3.6640625" style="4" customWidth="1"/>
    <col min="10528" max="10528" width="9.6640625" style="4" customWidth="1"/>
    <col min="10529" max="10538" width="3.6640625" style="4" customWidth="1"/>
    <col min="10539" max="10539" width="11" style="4" customWidth="1"/>
    <col min="10540" max="10542" width="8.88671875" style="4"/>
    <col min="10543" max="10543" width="21" style="4" customWidth="1"/>
    <col min="10544" max="10544" width="24.44140625" style="4" customWidth="1"/>
    <col min="10545" max="10753" width="8.88671875" style="4"/>
    <col min="10754" max="10754" width="3.6640625" style="4" customWidth="1"/>
    <col min="10755" max="10755" width="2.33203125" style="4" customWidth="1"/>
    <col min="10756" max="10757" width="3.6640625" style="4" customWidth="1"/>
    <col min="10758" max="10758" width="2.33203125" style="4" customWidth="1"/>
    <col min="10759" max="10760" width="3.6640625" style="4" customWidth="1"/>
    <col min="10761" max="10761" width="2.33203125" style="4" customWidth="1"/>
    <col min="10762" max="10763" width="3.6640625" style="4" customWidth="1"/>
    <col min="10764" max="10764" width="2.33203125" style="4" customWidth="1"/>
    <col min="10765" max="10766" width="3.6640625" style="4" customWidth="1"/>
    <col min="10767" max="10767" width="2.33203125" style="4" customWidth="1"/>
    <col min="10768" max="10769" width="3.6640625" style="4" customWidth="1"/>
    <col min="10770" max="10770" width="2.33203125" style="4" customWidth="1"/>
    <col min="10771" max="10772" width="3.6640625" style="4" customWidth="1"/>
    <col min="10773" max="10773" width="2.33203125" style="4" customWidth="1"/>
    <col min="10774" max="10775" width="3.6640625" style="4" customWidth="1"/>
    <col min="10776" max="10776" width="2.33203125" style="4" customWidth="1"/>
    <col min="10777" max="10778" width="3.6640625" style="4" customWidth="1"/>
    <col min="10779" max="10779" width="2.33203125" style="4" customWidth="1"/>
    <col min="10780" max="10781" width="3.6640625" style="4" customWidth="1"/>
    <col min="10782" max="10782" width="2.33203125" style="4" customWidth="1"/>
    <col min="10783" max="10783" width="3.6640625" style="4" customWidth="1"/>
    <col min="10784" max="10784" width="9.6640625" style="4" customWidth="1"/>
    <col min="10785" max="10794" width="3.6640625" style="4" customWidth="1"/>
    <col min="10795" max="10795" width="11" style="4" customWidth="1"/>
    <col min="10796" max="10798" width="8.88671875" style="4"/>
    <col min="10799" max="10799" width="21" style="4" customWidth="1"/>
    <col min="10800" max="10800" width="24.44140625" style="4" customWidth="1"/>
    <col min="10801" max="11009" width="8.88671875" style="4"/>
    <col min="11010" max="11010" width="3.6640625" style="4" customWidth="1"/>
    <col min="11011" max="11011" width="2.33203125" style="4" customWidth="1"/>
    <col min="11012" max="11013" width="3.6640625" style="4" customWidth="1"/>
    <col min="11014" max="11014" width="2.33203125" style="4" customWidth="1"/>
    <col min="11015" max="11016" width="3.6640625" style="4" customWidth="1"/>
    <col min="11017" max="11017" width="2.33203125" style="4" customWidth="1"/>
    <col min="11018" max="11019" width="3.6640625" style="4" customWidth="1"/>
    <col min="11020" max="11020" width="2.33203125" style="4" customWidth="1"/>
    <col min="11021" max="11022" width="3.6640625" style="4" customWidth="1"/>
    <col min="11023" max="11023" width="2.33203125" style="4" customWidth="1"/>
    <col min="11024" max="11025" width="3.6640625" style="4" customWidth="1"/>
    <col min="11026" max="11026" width="2.33203125" style="4" customWidth="1"/>
    <col min="11027" max="11028" width="3.6640625" style="4" customWidth="1"/>
    <col min="11029" max="11029" width="2.33203125" style="4" customWidth="1"/>
    <col min="11030" max="11031" width="3.6640625" style="4" customWidth="1"/>
    <col min="11032" max="11032" width="2.33203125" style="4" customWidth="1"/>
    <col min="11033" max="11034" width="3.6640625" style="4" customWidth="1"/>
    <col min="11035" max="11035" width="2.33203125" style="4" customWidth="1"/>
    <col min="11036" max="11037" width="3.6640625" style="4" customWidth="1"/>
    <col min="11038" max="11038" width="2.33203125" style="4" customWidth="1"/>
    <col min="11039" max="11039" width="3.6640625" style="4" customWidth="1"/>
    <col min="11040" max="11040" width="9.6640625" style="4" customWidth="1"/>
    <col min="11041" max="11050" width="3.6640625" style="4" customWidth="1"/>
    <col min="11051" max="11051" width="11" style="4" customWidth="1"/>
    <col min="11052" max="11054" width="8.88671875" style="4"/>
    <col min="11055" max="11055" width="21" style="4" customWidth="1"/>
    <col min="11056" max="11056" width="24.44140625" style="4" customWidth="1"/>
    <col min="11057" max="11265" width="8.88671875" style="4"/>
    <col min="11266" max="11266" width="3.6640625" style="4" customWidth="1"/>
    <col min="11267" max="11267" width="2.33203125" style="4" customWidth="1"/>
    <col min="11268" max="11269" width="3.6640625" style="4" customWidth="1"/>
    <col min="11270" max="11270" width="2.33203125" style="4" customWidth="1"/>
    <col min="11271" max="11272" width="3.6640625" style="4" customWidth="1"/>
    <col min="11273" max="11273" width="2.33203125" style="4" customWidth="1"/>
    <col min="11274" max="11275" width="3.6640625" style="4" customWidth="1"/>
    <col min="11276" max="11276" width="2.33203125" style="4" customWidth="1"/>
    <col min="11277" max="11278" width="3.6640625" style="4" customWidth="1"/>
    <col min="11279" max="11279" width="2.33203125" style="4" customWidth="1"/>
    <col min="11280" max="11281" width="3.6640625" style="4" customWidth="1"/>
    <col min="11282" max="11282" width="2.33203125" style="4" customWidth="1"/>
    <col min="11283" max="11284" width="3.6640625" style="4" customWidth="1"/>
    <col min="11285" max="11285" width="2.33203125" style="4" customWidth="1"/>
    <col min="11286" max="11287" width="3.6640625" style="4" customWidth="1"/>
    <col min="11288" max="11288" width="2.33203125" style="4" customWidth="1"/>
    <col min="11289" max="11290" width="3.6640625" style="4" customWidth="1"/>
    <col min="11291" max="11291" width="2.33203125" style="4" customWidth="1"/>
    <col min="11292" max="11293" width="3.6640625" style="4" customWidth="1"/>
    <col min="11294" max="11294" width="2.33203125" style="4" customWidth="1"/>
    <col min="11295" max="11295" width="3.6640625" style="4" customWidth="1"/>
    <col min="11296" max="11296" width="9.6640625" style="4" customWidth="1"/>
    <col min="11297" max="11306" width="3.6640625" style="4" customWidth="1"/>
    <col min="11307" max="11307" width="11" style="4" customWidth="1"/>
    <col min="11308" max="11310" width="8.88671875" style="4"/>
    <col min="11311" max="11311" width="21" style="4" customWidth="1"/>
    <col min="11312" max="11312" width="24.44140625" style="4" customWidth="1"/>
    <col min="11313" max="11521" width="8.88671875" style="4"/>
    <col min="11522" max="11522" width="3.6640625" style="4" customWidth="1"/>
    <col min="11523" max="11523" width="2.33203125" style="4" customWidth="1"/>
    <col min="11524" max="11525" width="3.6640625" style="4" customWidth="1"/>
    <col min="11526" max="11526" width="2.33203125" style="4" customWidth="1"/>
    <col min="11527" max="11528" width="3.6640625" style="4" customWidth="1"/>
    <col min="11529" max="11529" width="2.33203125" style="4" customWidth="1"/>
    <col min="11530" max="11531" width="3.6640625" style="4" customWidth="1"/>
    <col min="11532" max="11532" width="2.33203125" style="4" customWidth="1"/>
    <col min="11533" max="11534" width="3.6640625" style="4" customWidth="1"/>
    <col min="11535" max="11535" width="2.33203125" style="4" customWidth="1"/>
    <col min="11536" max="11537" width="3.6640625" style="4" customWidth="1"/>
    <col min="11538" max="11538" width="2.33203125" style="4" customWidth="1"/>
    <col min="11539" max="11540" width="3.6640625" style="4" customWidth="1"/>
    <col min="11541" max="11541" width="2.33203125" style="4" customWidth="1"/>
    <col min="11542" max="11543" width="3.6640625" style="4" customWidth="1"/>
    <col min="11544" max="11544" width="2.33203125" style="4" customWidth="1"/>
    <col min="11545" max="11546" width="3.6640625" style="4" customWidth="1"/>
    <col min="11547" max="11547" width="2.33203125" style="4" customWidth="1"/>
    <col min="11548" max="11549" width="3.6640625" style="4" customWidth="1"/>
    <col min="11550" max="11550" width="2.33203125" style="4" customWidth="1"/>
    <col min="11551" max="11551" width="3.6640625" style="4" customWidth="1"/>
    <col min="11552" max="11552" width="9.6640625" style="4" customWidth="1"/>
    <col min="11553" max="11562" width="3.6640625" style="4" customWidth="1"/>
    <col min="11563" max="11563" width="11" style="4" customWidth="1"/>
    <col min="11564" max="11566" width="8.88671875" style="4"/>
    <col min="11567" max="11567" width="21" style="4" customWidth="1"/>
    <col min="11568" max="11568" width="24.44140625" style="4" customWidth="1"/>
    <col min="11569" max="11777" width="8.88671875" style="4"/>
    <col min="11778" max="11778" width="3.6640625" style="4" customWidth="1"/>
    <col min="11779" max="11779" width="2.33203125" style="4" customWidth="1"/>
    <col min="11780" max="11781" width="3.6640625" style="4" customWidth="1"/>
    <col min="11782" max="11782" width="2.33203125" style="4" customWidth="1"/>
    <col min="11783" max="11784" width="3.6640625" style="4" customWidth="1"/>
    <col min="11785" max="11785" width="2.33203125" style="4" customWidth="1"/>
    <col min="11786" max="11787" width="3.6640625" style="4" customWidth="1"/>
    <col min="11788" max="11788" width="2.33203125" style="4" customWidth="1"/>
    <col min="11789" max="11790" width="3.6640625" style="4" customWidth="1"/>
    <col min="11791" max="11791" width="2.33203125" style="4" customWidth="1"/>
    <col min="11792" max="11793" width="3.6640625" style="4" customWidth="1"/>
    <col min="11794" max="11794" width="2.33203125" style="4" customWidth="1"/>
    <col min="11795" max="11796" width="3.6640625" style="4" customWidth="1"/>
    <col min="11797" max="11797" width="2.33203125" style="4" customWidth="1"/>
    <col min="11798" max="11799" width="3.6640625" style="4" customWidth="1"/>
    <col min="11800" max="11800" width="2.33203125" style="4" customWidth="1"/>
    <col min="11801" max="11802" width="3.6640625" style="4" customWidth="1"/>
    <col min="11803" max="11803" width="2.33203125" style="4" customWidth="1"/>
    <col min="11804" max="11805" width="3.6640625" style="4" customWidth="1"/>
    <col min="11806" max="11806" width="2.33203125" style="4" customWidth="1"/>
    <col min="11807" max="11807" width="3.6640625" style="4" customWidth="1"/>
    <col min="11808" max="11808" width="9.6640625" style="4" customWidth="1"/>
    <col min="11809" max="11818" width="3.6640625" style="4" customWidth="1"/>
    <col min="11819" max="11819" width="11" style="4" customWidth="1"/>
    <col min="11820" max="11822" width="8.88671875" style="4"/>
    <col min="11823" max="11823" width="21" style="4" customWidth="1"/>
    <col min="11824" max="11824" width="24.44140625" style="4" customWidth="1"/>
    <col min="11825" max="12033" width="8.88671875" style="4"/>
    <col min="12034" max="12034" width="3.6640625" style="4" customWidth="1"/>
    <col min="12035" max="12035" width="2.33203125" style="4" customWidth="1"/>
    <col min="12036" max="12037" width="3.6640625" style="4" customWidth="1"/>
    <col min="12038" max="12038" width="2.33203125" style="4" customWidth="1"/>
    <col min="12039" max="12040" width="3.6640625" style="4" customWidth="1"/>
    <col min="12041" max="12041" width="2.33203125" style="4" customWidth="1"/>
    <col min="12042" max="12043" width="3.6640625" style="4" customWidth="1"/>
    <col min="12044" max="12044" width="2.33203125" style="4" customWidth="1"/>
    <col min="12045" max="12046" width="3.6640625" style="4" customWidth="1"/>
    <col min="12047" max="12047" width="2.33203125" style="4" customWidth="1"/>
    <col min="12048" max="12049" width="3.6640625" style="4" customWidth="1"/>
    <col min="12050" max="12050" width="2.33203125" style="4" customWidth="1"/>
    <col min="12051" max="12052" width="3.6640625" style="4" customWidth="1"/>
    <col min="12053" max="12053" width="2.33203125" style="4" customWidth="1"/>
    <col min="12054" max="12055" width="3.6640625" style="4" customWidth="1"/>
    <col min="12056" max="12056" width="2.33203125" style="4" customWidth="1"/>
    <col min="12057" max="12058" width="3.6640625" style="4" customWidth="1"/>
    <col min="12059" max="12059" width="2.33203125" style="4" customWidth="1"/>
    <col min="12060" max="12061" width="3.6640625" style="4" customWidth="1"/>
    <col min="12062" max="12062" width="2.33203125" style="4" customWidth="1"/>
    <col min="12063" max="12063" width="3.6640625" style="4" customWidth="1"/>
    <col min="12064" max="12064" width="9.6640625" style="4" customWidth="1"/>
    <col min="12065" max="12074" width="3.6640625" style="4" customWidth="1"/>
    <col min="12075" max="12075" width="11" style="4" customWidth="1"/>
    <col min="12076" max="12078" width="8.88671875" style="4"/>
    <col min="12079" max="12079" width="21" style="4" customWidth="1"/>
    <col min="12080" max="12080" width="24.44140625" style="4" customWidth="1"/>
    <col min="12081" max="12289" width="8.88671875" style="4"/>
    <col min="12290" max="12290" width="3.6640625" style="4" customWidth="1"/>
    <col min="12291" max="12291" width="2.33203125" style="4" customWidth="1"/>
    <col min="12292" max="12293" width="3.6640625" style="4" customWidth="1"/>
    <col min="12294" max="12294" width="2.33203125" style="4" customWidth="1"/>
    <col min="12295" max="12296" width="3.6640625" style="4" customWidth="1"/>
    <col min="12297" max="12297" width="2.33203125" style="4" customWidth="1"/>
    <col min="12298" max="12299" width="3.6640625" style="4" customWidth="1"/>
    <col min="12300" max="12300" width="2.33203125" style="4" customWidth="1"/>
    <col min="12301" max="12302" width="3.6640625" style="4" customWidth="1"/>
    <col min="12303" max="12303" width="2.33203125" style="4" customWidth="1"/>
    <col min="12304" max="12305" width="3.6640625" style="4" customWidth="1"/>
    <col min="12306" max="12306" width="2.33203125" style="4" customWidth="1"/>
    <col min="12307" max="12308" width="3.6640625" style="4" customWidth="1"/>
    <col min="12309" max="12309" width="2.33203125" style="4" customWidth="1"/>
    <col min="12310" max="12311" width="3.6640625" style="4" customWidth="1"/>
    <col min="12312" max="12312" width="2.33203125" style="4" customWidth="1"/>
    <col min="12313" max="12314" width="3.6640625" style="4" customWidth="1"/>
    <col min="12315" max="12315" width="2.33203125" style="4" customWidth="1"/>
    <col min="12316" max="12317" width="3.6640625" style="4" customWidth="1"/>
    <col min="12318" max="12318" width="2.33203125" style="4" customWidth="1"/>
    <col min="12319" max="12319" width="3.6640625" style="4" customWidth="1"/>
    <col min="12320" max="12320" width="9.6640625" style="4" customWidth="1"/>
    <col min="12321" max="12330" width="3.6640625" style="4" customWidth="1"/>
    <col min="12331" max="12331" width="11" style="4" customWidth="1"/>
    <col min="12332" max="12334" width="8.88671875" style="4"/>
    <col min="12335" max="12335" width="21" style="4" customWidth="1"/>
    <col min="12336" max="12336" width="24.44140625" style="4" customWidth="1"/>
    <col min="12337" max="12545" width="8.88671875" style="4"/>
    <col min="12546" max="12546" width="3.6640625" style="4" customWidth="1"/>
    <col min="12547" max="12547" width="2.33203125" style="4" customWidth="1"/>
    <col min="12548" max="12549" width="3.6640625" style="4" customWidth="1"/>
    <col min="12550" max="12550" width="2.33203125" style="4" customWidth="1"/>
    <col min="12551" max="12552" width="3.6640625" style="4" customWidth="1"/>
    <col min="12553" max="12553" width="2.33203125" style="4" customWidth="1"/>
    <col min="12554" max="12555" width="3.6640625" style="4" customWidth="1"/>
    <col min="12556" max="12556" width="2.33203125" style="4" customWidth="1"/>
    <col min="12557" max="12558" width="3.6640625" style="4" customWidth="1"/>
    <col min="12559" max="12559" width="2.33203125" style="4" customWidth="1"/>
    <col min="12560" max="12561" width="3.6640625" style="4" customWidth="1"/>
    <col min="12562" max="12562" width="2.33203125" style="4" customWidth="1"/>
    <col min="12563" max="12564" width="3.6640625" style="4" customWidth="1"/>
    <col min="12565" max="12565" width="2.33203125" style="4" customWidth="1"/>
    <col min="12566" max="12567" width="3.6640625" style="4" customWidth="1"/>
    <col min="12568" max="12568" width="2.33203125" style="4" customWidth="1"/>
    <col min="12569" max="12570" width="3.6640625" style="4" customWidth="1"/>
    <col min="12571" max="12571" width="2.33203125" style="4" customWidth="1"/>
    <col min="12572" max="12573" width="3.6640625" style="4" customWidth="1"/>
    <col min="12574" max="12574" width="2.33203125" style="4" customWidth="1"/>
    <col min="12575" max="12575" width="3.6640625" style="4" customWidth="1"/>
    <col min="12576" max="12576" width="9.6640625" style="4" customWidth="1"/>
    <col min="12577" max="12586" width="3.6640625" style="4" customWidth="1"/>
    <col min="12587" max="12587" width="11" style="4" customWidth="1"/>
    <col min="12588" max="12590" width="8.88671875" style="4"/>
    <col min="12591" max="12591" width="21" style="4" customWidth="1"/>
    <col min="12592" max="12592" width="24.44140625" style="4" customWidth="1"/>
    <col min="12593" max="12801" width="8.88671875" style="4"/>
    <col min="12802" max="12802" width="3.6640625" style="4" customWidth="1"/>
    <col min="12803" max="12803" width="2.33203125" style="4" customWidth="1"/>
    <col min="12804" max="12805" width="3.6640625" style="4" customWidth="1"/>
    <col min="12806" max="12806" width="2.33203125" style="4" customWidth="1"/>
    <col min="12807" max="12808" width="3.6640625" style="4" customWidth="1"/>
    <col min="12809" max="12809" width="2.33203125" style="4" customWidth="1"/>
    <col min="12810" max="12811" width="3.6640625" style="4" customWidth="1"/>
    <col min="12812" max="12812" width="2.33203125" style="4" customWidth="1"/>
    <col min="12813" max="12814" width="3.6640625" style="4" customWidth="1"/>
    <col min="12815" max="12815" width="2.33203125" style="4" customWidth="1"/>
    <col min="12816" max="12817" width="3.6640625" style="4" customWidth="1"/>
    <col min="12818" max="12818" width="2.33203125" style="4" customWidth="1"/>
    <col min="12819" max="12820" width="3.6640625" style="4" customWidth="1"/>
    <col min="12821" max="12821" width="2.33203125" style="4" customWidth="1"/>
    <col min="12822" max="12823" width="3.6640625" style="4" customWidth="1"/>
    <col min="12824" max="12824" width="2.33203125" style="4" customWidth="1"/>
    <col min="12825" max="12826" width="3.6640625" style="4" customWidth="1"/>
    <col min="12827" max="12827" width="2.33203125" style="4" customWidth="1"/>
    <col min="12828" max="12829" width="3.6640625" style="4" customWidth="1"/>
    <col min="12830" max="12830" width="2.33203125" style="4" customWidth="1"/>
    <col min="12831" max="12831" width="3.6640625" style="4" customWidth="1"/>
    <col min="12832" max="12832" width="9.6640625" style="4" customWidth="1"/>
    <col min="12833" max="12842" width="3.6640625" style="4" customWidth="1"/>
    <col min="12843" max="12843" width="11" style="4" customWidth="1"/>
    <col min="12844" max="12846" width="8.88671875" style="4"/>
    <col min="12847" max="12847" width="21" style="4" customWidth="1"/>
    <col min="12848" max="12848" width="24.44140625" style="4" customWidth="1"/>
    <col min="12849" max="13057" width="8.88671875" style="4"/>
    <col min="13058" max="13058" width="3.6640625" style="4" customWidth="1"/>
    <col min="13059" max="13059" width="2.33203125" style="4" customWidth="1"/>
    <col min="13060" max="13061" width="3.6640625" style="4" customWidth="1"/>
    <col min="13062" max="13062" width="2.33203125" style="4" customWidth="1"/>
    <col min="13063" max="13064" width="3.6640625" style="4" customWidth="1"/>
    <col min="13065" max="13065" width="2.33203125" style="4" customWidth="1"/>
    <col min="13066" max="13067" width="3.6640625" style="4" customWidth="1"/>
    <col min="13068" max="13068" width="2.33203125" style="4" customWidth="1"/>
    <col min="13069" max="13070" width="3.6640625" style="4" customWidth="1"/>
    <col min="13071" max="13071" width="2.33203125" style="4" customWidth="1"/>
    <col min="13072" max="13073" width="3.6640625" style="4" customWidth="1"/>
    <col min="13074" max="13074" width="2.33203125" style="4" customWidth="1"/>
    <col min="13075" max="13076" width="3.6640625" style="4" customWidth="1"/>
    <col min="13077" max="13077" width="2.33203125" style="4" customWidth="1"/>
    <col min="13078" max="13079" width="3.6640625" style="4" customWidth="1"/>
    <col min="13080" max="13080" width="2.33203125" style="4" customWidth="1"/>
    <col min="13081" max="13082" width="3.6640625" style="4" customWidth="1"/>
    <col min="13083" max="13083" width="2.33203125" style="4" customWidth="1"/>
    <col min="13084" max="13085" width="3.6640625" style="4" customWidth="1"/>
    <col min="13086" max="13086" width="2.33203125" style="4" customWidth="1"/>
    <col min="13087" max="13087" width="3.6640625" style="4" customWidth="1"/>
    <col min="13088" max="13088" width="9.6640625" style="4" customWidth="1"/>
    <col min="13089" max="13098" width="3.6640625" style="4" customWidth="1"/>
    <col min="13099" max="13099" width="11" style="4" customWidth="1"/>
    <col min="13100" max="13102" width="8.88671875" style="4"/>
    <col min="13103" max="13103" width="21" style="4" customWidth="1"/>
    <col min="13104" max="13104" width="24.44140625" style="4" customWidth="1"/>
    <col min="13105" max="13313" width="8.88671875" style="4"/>
    <col min="13314" max="13314" width="3.6640625" style="4" customWidth="1"/>
    <col min="13315" max="13315" width="2.33203125" style="4" customWidth="1"/>
    <col min="13316" max="13317" width="3.6640625" style="4" customWidth="1"/>
    <col min="13318" max="13318" width="2.33203125" style="4" customWidth="1"/>
    <col min="13319" max="13320" width="3.6640625" style="4" customWidth="1"/>
    <col min="13321" max="13321" width="2.33203125" style="4" customWidth="1"/>
    <col min="13322" max="13323" width="3.6640625" style="4" customWidth="1"/>
    <col min="13324" max="13324" width="2.33203125" style="4" customWidth="1"/>
    <col min="13325" max="13326" width="3.6640625" style="4" customWidth="1"/>
    <col min="13327" max="13327" width="2.33203125" style="4" customWidth="1"/>
    <col min="13328" max="13329" width="3.6640625" style="4" customWidth="1"/>
    <col min="13330" max="13330" width="2.33203125" style="4" customWidth="1"/>
    <col min="13331" max="13332" width="3.6640625" style="4" customWidth="1"/>
    <col min="13333" max="13333" width="2.33203125" style="4" customWidth="1"/>
    <col min="13334" max="13335" width="3.6640625" style="4" customWidth="1"/>
    <col min="13336" max="13336" width="2.33203125" style="4" customWidth="1"/>
    <col min="13337" max="13338" width="3.6640625" style="4" customWidth="1"/>
    <col min="13339" max="13339" width="2.33203125" style="4" customWidth="1"/>
    <col min="13340" max="13341" width="3.6640625" style="4" customWidth="1"/>
    <col min="13342" max="13342" width="2.33203125" style="4" customWidth="1"/>
    <col min="13343" max="13343" width="3.6640625" style="4" customWidth="1"/>
    <col min="13344" max="13344" width="9.6640625" style="4" customWidth="1"/>
    <col min="13345" max="13354" width="3.6640625" style="4" customWidth="1"/>
    <col min="13355" max="13355" width="11" style="4" customWidth="1"/>
    <col min="13356" max="13358" width="8.88671875" style="4"/>
    <col min="13359" max="13359" width="21" style="4" customWidth="1"/>
    <col min="13360" max="13360" width="24.44140625" style="4" customWidth="1"/>
    <col min="13361" max="13569" width="8.88671875" style="4"/>
    <col min="13570" max="13570" width="3.6640625" style="4" customWidth="1"/>
    <col min="13571" max="13571" width="2.33203125" style="4" customWidth="1"/>
    <col min="13572" max="13573" width="3.6640625" style="4" customWidth="1"/>
    <col min="13574" max="13574" width="2.33203125" style="4" customWidth="1"/>
    <col min="13575" max="13576" width="3.6640625" style="4" customWidth="1"/>
    <col min="13577" max="13577" width="2.33203125" style="4" customWidth="1"/>
    <col min="13578" max="13579" width="3.6640625" style="4" customWidth="1"/>
    <col min="13580" max="13580" width="2.33203125" style="4" customWidth="1"/>
    <col min="13581" max="13582" width="3.6640625" style="4" customWidth="1"/>
    <col min="13583" max="13583" width="2.33203125" style="4" customWidth="1"/>
    <col min="13584" max="13585" width="3.6640625" style="4" customWidth="1"/>
    <col min="13586" max="13586" width="2.33203125" style="4" customWidth="1"/>
    <col min="13587" max="13588" width="3.6640625" style="4" customWidth="1"/>
    <col min="13589" max="13589" width="2.33203125" style="4" customWidth="1"/>
    <col min="13590" max="13591" width="3.6640625" style="4" customWidth="1"/>
    <col min="13592" max="13592" width="2.33203125" style="4" customWidth="1"/>
    <col min="13593" max="13594" width="3.6640625" style="4" customWidth="1"/>
    <col min="13595" max="13595" width="2.33203125" style="4" customWidth="1"/>
    <col min="13596" max="13597" width="3.6640625" style="4" customWidth="1"/>
    <col min="13598" max="13598" width="2.33203125" style="4" customWidth="1"/>
    <col min="13599" max="13599" width="3.6640625" style="4" customWidth="1"/>
    <col min="13600" max="13600" width="9.6640625" style="4" customWidth="1"/>
    <col min="13601" max="13610" width="3.6640625" style="4" customWidth="1"/>
    <col min="13611" max="13611" width="11" style="4" customWidth="1"/>
    <col min="13612" max="13614" width="8.88671875" style="4"/>
    <col min="13615" max="13615" width="21" style="4" customWidth="1"/>
    <col min="13616" max="13616" width="24.44140625" style="4" customWidth="1"/>
    <col min="13617" max="13825" width="8.88671875" style="4"/>
    <col min="13826" max="13826" width="3.6640625" style="4" customWidth="1"/>
    <col min="13827" max="13827" width="2.33203125" style="4" customWidth="1"/>
    <col min="13828" max="13829" width="3.6640625" style="4" customWidth="1"/>
    <col min="13830" max="13830" width="2.33203125" style="4" customWidth="1"/>
    <col min="13831" max="13832" width="3.6640625" style="4" customWidth="1"/>
    <col min="13833" max="13833" width="2.33203125" style="4" customWidth="1"/>
    <col min="13834" max="13835" width="3.6640625" style="4" customWidth="1"/>
    <col min="13836" max="13836" width="2.33203125" style="4" customWidth="1"/>
    <col min="13837" max="13838" width="3.6640625" style="4" customWidth="1"/>
    <col min="13839" max="13839" width="2.33203125" style="4" customWidth="1"/>
    <col min="13840" max="13841" width="3.6640625" style="4" customWidth="1"/>
    <col min="13842" max="13842" width="2.33203125" style="4" customWidth="1"/>
    <col min="13843" max="13844" width="3.6640625" style="4" customWidth="1"/>
    <col min="13845" max="13845" width="2.33203125" style="4" customWidth="1"/>
    <col min="13846" max="13847" width="3.6640625" style="4" customWidth="1"/>
    <col min="13848" max="13848" width="2.33203125" style="4" customWidth="1"/>
    <col min="13849" max="13850" width="3.6640625" style="4" customWidth="1"/>
    <col min="13851" max="13851" width="2.33203125" style="4" customWidth="1"/>
    <col min="13852" max="13853" width="3.6640625" style="4" customWidth="1"/>
    <col min="13854" max="13854" width="2.33203125" style="4" customWidth="1"/>
    <col min="13855" max="13855" width="3.6640625" style="4" customWidth="1"/>
    <col min="13856" max="13856" width="9.6640625" style="4" customWidth="1"/>
    <col min="13857" max="13866" width="3.6640625" style="4" customWidth="1"/>
    <col min="13867" max="13867" width="11" style="4" customWidth="1"/>
    <col min="13868" max="13870" width="8.88671875" style="4"/>
    <col min="13871" max="13871" width="21" style="4" customWidth="1"/>
    <col min="13872" max="13872" width="24.44140625" style="4" customWidth="1"/>
    <col min="13873" max="14081" width="8.88671875" style="4"/>
    <col min="14082" max="14082" width="3.6640625" style="4" customWidth="1"/>
    <col min="14083" max="14083" width="2.33203125" style="4" customWidth="1"/>
    <col min="14084" max="14085" width="3.6640625" style="4" customWidth="1"/>
    <col min="14086" max="14086" width="2.33203125" style="4" customWidth="1"/>
    <col min="14087" max="14088" width="3.6640625" style="4" customWidth="1"/>
    <col min="14089" max="14089" width="2.33203125" style="4" customWidth="1"/>
    <col min="14090" max="14091" width="3.6640625" style="4" customWidth="1"/>
    <col min="14092" max="14092" width="2.33203125" style="4" customWidth="1"/>
    <col min="14093" max="14094" width="3.6640625" style="4" customWidth="1"/>
    <col min="14095" max="14095" width="2.33203125" style="4" customWidth="1"/>
    <col min="14096" max="14097" width="3.6640625" style="4" customWidth="1"/>
    <col min="14098" max="14098" width="2.33203125" style="4" customWidth="1"/>
    <col min="14099" max="14100" width="3.6640625" style="4" customWidth="1"/>
    <col min="14101" max="14101" width="2.33203125" style="4" customWidth="1"/>
    <col min="14102" max="14103" width="3.6640625" style="4" customWidth="1"/>
    <col min="14104" max="14104" width="2.33203125" style="4" customWidth="1"/>
    <col min="14105" max="14106" width="3.6640625" style="4" customWidth="1"/>
    <col min="14107" max="14107" width="2.33203125" style="4" customWidth="1"/>
    <col min="14108" max="14109" width="3.6640625" style="4" customWidth="1"/>
    <col min="14110" max="14110" width="2.33203125" style="4" customWidth="1"/>
    <col min="14111" max="14111" width="3.6640625" style="4" customWidth="1"/>
    <col min="14112" max="14112" width="9.6640625" style="4" customWidth="1"/>
    <col min="14113" max="14122" width="3.6640625" style="4" customWidth="1"/>
    <col min="14123" max="14123" width="11" style="4" customWidth="1"/>
    <col min="14124" max="14126" width="8.88671875" style="4"/>
    <col min="14127" max="14127" width="21" style="4" customWidth="1"/>
    <col min="14128" max="14128" width="24.44140625" style="4" customWidth="1"/>
    <col min="14129" max="14337" width="8.88671875" style="4"/>
    <col min="14338" max="14338" width="3.6640625" style="4" customWidth="1"/>
    <col min="14339" max="14339" width="2.33203125" style="4" customWidth="1"/>
    <col min="14340" max="14341" width="3.6640625" style="4" customWidth="1"/>
    <col min="14342" max="14342" width="2.33203125" style="4" customWidth="1"/>
    <col min="14343" max="14344" width="3.6640625" style="4" customWidth="1"/>
    <col min="14345" max="14345" width="2.33203125" style="4" customWidth="1"/>
    <col min="14346" max="14347" width="3.6640625" style="4" customWidth="1"/>
    <col min="14348" max="14348" width="2.33203125" style="4" customWidth="1"/>
    <col min="14349" max="14350" width="3.6640625" style="4" customWidth="1"/>
    <col min="14351" max="14351" width="2.33203125" style="4" customWidth="1"/>
    <col min="14352" max="14353" width="3.6640625" style="4" customWidth="1"/>
    <col min="14354" max="14354" width="2.33203125" style="4" customWidth="1"/>
    <col min="14355" max="14356" width="3.6640625" style="4" customWidth="1"/>
    <col min="14357" max="14357" width="2.33203125" style="4" customWidth="1"/>
    <col min="14358" max="14359" width="3.6640625" style="4" customWidth="1"/>
    <col min="14360" max="14360" width="2.33203125" style="4" customWidth="1"/>
    <col min="14361" max="14362" width="3.6640625" style="4" customWidth="1"/>
    <col min="14363" max="14363" width="2.33203125" style="4" customWidth="1"/>
    <col min="14364" max="14365" width="3.6640625" style="4" customWidth="1"/>
    <col min="14366" max="14366" width="2.33203125" style="4" customWidth="1"/>
    <col min="14367" max="14367" width="3.6640625" style="4" customWidth="1"/>
    <col min="14368" max="14368" width="9.6640625" style="4" customWidth="1"/>
    <col min="14369" max="14378" width="3.6640625" style="4" customWidth="1"/>
    <col min="14379" max="14379" width="11" style="4" customWidth="1"/>
    <col min="14380" max="14382" width="8.88671875" style="4"/>
    <col min="14383" max="14383" width="21" style="4" customWidth="1"/>
    <col min="14384" max="14384" width="24.44140625" style="4" customWidth="1"/>
    <col min="14385" max="14593" width="8.88671875" style="4"/>
    <col min="14594" max="14594" width="3.6640625" style="4" customWidth="1"/>
    <col min="14595" max="14595" width="2.33203125" style="4" customWidth="1"/>
    <col min="14596" max="14597" width="3.6640625" style="4" customWidth="1"/>
    <col min="14598" max="14598" width="2.33203125" style="4" customWidth="1"/>
    <col min="14599" max="14600" width="3.6640625" style="4" customWidth="1"/>
    <col min="14601" max="14601" width="2.33203125" style="4" customWidth="1"/>
    <col min="14602" max="14603" width="3.6640625" style="4" customWidth="1"/>
    <col min="14604" max="14604" width="2.33203125" style="4" customWidth="1"/>
    <col min="14605" max="14606" width="3.6640625" style="4" customWidth="1"/>
    <col min="14607" max="14607" width="2.33203125" style="4" customWidth="1"/>
    <col min="14608" max="14609" width="3.6640625" style="4" customWidth="1"/>
    <col min="14610" max="14610" width="2.33203125" style="4" customWidth="1"/>
    <col min="14611" max="14612" width="3.6640625" style="4" customWidth="1"/>
    <col min="14613" max="14613" width="2.33203125" style="4" customWidth="1"/>
    <col min="14614" max="14615" width="3.6640625" style="4" customWidth="1"/>
    <col min="14616" max="14616" width="2.33203125" style="4" customWidth="1"/>
    <col min="14617" max="14618" width="3.6640625" style="4" customWidth="1"/>
    <col min="14619" max="14619" width="2.33203125" style="4" customWidth="1"/>
    <col min="14620" max="14621" width="3.6640625" style="4" customWidth="1"/>
    <col min="14622" max="14622" width="2.33203125" style="4" customWidth="1"/>
    <col min="14623" max="14623" width="3.6640625" style="4" customWidth="1"/>
    <col min="14624" max="14624" width="9.6640625" style="4" customWidth="1"/>
    <col min="14625" max="14634" width="3.6640625" style="4" customWidth="1"/>
    <col min="14635" max="14635" width="11" style="4" customWidth="1"/>
    <col min="14636" max="14638" width="8.88671875" style="4"/>
    <col min="14639" max="14639" width="21" style="4" customWidth="1"/>
    <col min="14640" max="14640" width="24.44140625" style="4" customWidth="1"/>
    <col min="14641" max="14849" width="8.88671875" style="4"/>
    <col min="14850" max="14850" width="3.6640625" style="4" customWidth="1"/>
    <col min="14851" max="14851" width="2.33203125" style="4" customWidth="1"/>
    <col min="14852" max="14853" width="3.6640625" style="4" customWidth="1"/>
    <col min="14854" max="14854" width="2.33203125" style="4" customWidth="1"/>
    <col min="14855" max="14856" width="3.6640625" style="4" customWidth="1"/>
    <col min="14857" max="14857" width="2.33203125" style="4" customWidth="1"/>
    <col min="14858" max="14859" width="3.6640625" style="4" customWidth="1"/>
    <col min="14860" max="14860" width="2.33203125" style="4" customWidth="1"/>
    <col min="14861" max="14862" width="3.6640625" style="4" customWidth="1"/>
    <col min="14863" max="14863" width="2.33203125" style="4" customWidth="1"/>
    <col min="14864" max="14865" width="3.6640625" style="4" customWidth="1"/>
    <col min="14866" max="14866" width="2.33203125" style="4" customWidth="1"/>
    <col min="14867" max="14868" width="3.6640625" style="4" customWidth="1"/>
    <col min="14869" max="14869" width="2.33203125" style="4" customWidth="1"/>
    <col min="14870" max="14871" width="3.6640625" style="4" customWidth="1"/>
    <col min="14872" max="14872" width="2.33203125" style="4" customWidth="1"/>
    <col min="14873" max="14874" width="3.6640625" style="4" customWidth="1"/>
    <col min="14875" max="14875" width="2.33203125" style="4" customWidth="1"/>
    <col min="14876" max="14877" width="3.6640625" style="4" customWidth="1"/>
    <col min="14878" max="14878" width="2.33203125" style="4" customWidth="1"/>
    <col min="14879" max="14879" width="3.6640625" style="4" customWidth="1"/>
    <col min="14880" max="14880" width="9.6640625" style="4" customWidth="1"/>
    <col min="14881" max="14890" width="3.6640625" style="4" customWidth="1"/>
    <col min="14891" max="14891" width="11" style="4" customWidth="1"/>
    <col min="14892" max="14894" width="8.88671875" style="4"/>
    <col min="14895" max="14895" width="21" style="4" customWidth="1"/>
    <col min="14896" max="14896" width="24.44140625" style="4" customWidth="1"/>
    <col min="14897" max="15105" width="8.88671875" style="4"/>
    <col min="15106" max="15106" width="3.6640625" style="4" customWidth="1"/>
    <col min="15107" max="15107" width="2.33203125" style="4" customWidth="1"/>
    <col min="15108" max="15109" width="3.6640625" style="4" customWidth="1"/>
    <col min="15110" max="15110" width="2.33203125" style="4" customWidth="1"/>
    <col min="15111" max="15112" width="3.6640625" style="4" customWidth="1"/>
    <col min="15113" max="15113" width="2.33203125" style="4" customWidth="1"/>
    <col min="15114" max="15115" width="3.6640625" style="4" customWidth="1"/>
    <col min="15116" max="15116" width="2.33203125" style="4" customWidth="1"/>
    <col min="15117" max="15118" width="3.6640625" style="4" customWidth="1"/>
    <col min="15119" max="15119" width="2.33203125" style="4" customWidth="1"/>
    <col min="15120" max="15121" width="3.6640625" style="4" customWidth="1"/>
    <col min="15122" max="15122" width="2.33203125" style="4" customWidth="1"/>
    <col min="15123" max="15124" width="3.6640625" style="4" customWidth="1"/>
    <col min="15125" max="15125" width="2.33203125" style="4" customWidth="1"/>
    <col min="15126" max="15127" width="3.6640625" style="4" customWidth="1"/>
    <col min="15128" max="15128" width="2.33203125" style="4" customWidth="1"/>
    <col min="15129" max="15130" width="3.6640625" style="4" customWidth="1"/>
    <col min="15131" max="15131" width="2.33203125" style="4" customWidth="1"/>
    <col min="15132" max="15133" width="3.6640625" style="4" customWidth="1"/>
    <col min="15134" max="15134" width="2.33203125" style="4" customWidth="1"/>
    <col min="15135" max="15135" width="3.6640625" style="4" customWidth="1"/>
    <col min="15136" max="15136" width="9.6640625" style="4" customWidth="1"/>
    <col min="15137" max="15146" width="3.6640625" style="4" customWidth="1"/>
    <col min="15147" max="15147" width="11" style="4" customWidth="1"/>
    <col min="15148" max="15150" width="8.88671875" style="4"/>
    <col min="15151" max="15151" width="21" style="4" customWidth="1"/>
    <col min="15152" max="15152" width="24.44140625" style="4" customWidth="1"/>
    <col min="15153" max="15361" width="8.88671875" style="4"/>
    <col min="15362" max="15362" width="3.6640625" style="4" customWidth="1"/>
    <col min="15363" max="15363" width="2.33203125" style="4" customWidth="1"/>
    <col min="15364" max="15365" width="3.6640625" style="4" customWidth="1"/>
    <col min="15366" max="15366" width="2.33203125" style="4" customWidth="1"/>
    <col min="15367" max="15368" width="3.6640625" style="4" customWidth="1"/>
    <col min="15369" max="15369" width="2.33203125" style="4" customWidth="1"/>
    <col min="15370" max="15371" width="3.6640625" style="4" customWidth="1"/>
    <col min="15372" max="15372" width="2.33203125" style="4" customWidth="1"/>
    <col min="15373" max="15374" width="3.6640625" style="4" customWidth="1"/>
    <col min="15375" max="15375" width="2.33203125" style="4" customWidth="1"/>
    <col min="15376" max="15377" width="3.6640625" style="4" customWidth="1"/>
    <col min="15378" max="15378" width="2.33203125" style="4" customWidth="1"/>
    <col min="15379" max="15380" width="3.6640625" style="4" customWidth="1"/>
    <col min="15381" max="15381" width="2.33203125" style="4" customWidth="1"/>
    <col min="15382" max="15383" width="3.6640625" style="4" customWidth="1"/>
    <col min="15384" max="15384" width="2.33203125" style="4" customWidth="1"/>
    <col min="15385" max="15386" width="3.6640625" style="4" customWidth="1"/>
    <col min="15387" max="15387" width="2.33203125" style="4" customWidth="1"/>
    <col min="15388" max="15389" width="3.6640625" style="4" customWidth="1"/>
    <col min="15390" max="15390" width="2.33203125" style="4" customWidth="1"/>
    <col min="15391" max="15391" width="3.6640625" style="4" customWidth="1"/>
    <col min="15392" max="15392" width="9.6640625" style="4" customWidth="1"/>
    <col min="15393" max="15402" width="3.6640625" style="4" customWidth="1"/>
    <col min="15403" max="15403" width="11" style="4" customWidth="1"/>
    <col min="15404" max="15406" width="8.88671875" style="4"/>
    <col min="15407" max="15407" width="21" style="4" customWidth="1"/>
    <col min="15408" max="15408" width="24.44140625" style="4" customWidth="1"/>
    <col min="15409" max="15617" width="8.88671875" style="4"/>
    <col min="15618" max="15618" width="3.6640625" style="4" customWidth="1"/>
    <col min="15619" max="15619" width="2.33203125" style="4" customWidth="1"/>
    <col min="15620" max="15621" width="3.6640625" style="4" customWidth="1"/>
    <col min="15622" max="15622" width="2.33203125" style="4" customWidth="1"/>
    <col min="15623" max="15624" width="3.6640625" style="4" customWidth="1"/>
    <col min="15625" max="15625" width="2.33203125" style="4" customWidth="1"/>
    <col min="15626" max="15627" width="3.6640625" style="4" customWidth="1"/>
    <col min="15628" max="15628" width="2.33203125" style="4" customWidth="1"/>
    <col min="15629" max="15630" width="3.6640625" style="4" customWidth="1"/>
    <col min="15631" max="15631" width="2.33203125" style="4" customWidth="1"/>
    <col min="15632" max="15633" width="3.6640625" style="4" customWidth="1"/>
    <col min="15634" max="15634" width="2.33203125" style="4" customWidth="1"/>
    <col min="15635" max="15636" width="3.6640625" style="4" customWidth="1"/>
    <col min="15637" max="15637" width="2.33203125" style="4" customWidth="1"/>
    <col min="15638" max="15639" width="3.6640625" style="4" customWidth="1"/>
    <col min="15640" max="15640" width="2.33203125" style="4" customWidth="1"/>
    <col min="15641" max="15642" width="3.6640625" style="4" customWidth="1"/>
    <col min="15643" max="15643" width="2.33203125" style="4" customWidth="1"/>
    <col min="15644" max="15645" width="3.6640625" style="4" customWidth="1"/>
    <col min="15646" max="15646" width="2.33203125" style="4" customWidth="1"/>
    <col min="15647" max="15647" width="3.6640625" style="4" customWidth="1"/>
    <col min="15648" max="15648" width="9.6640625" style="4" customWidth="1"/>
    <col min="15649" max="15658" width="3.6640625" style="4" customWidth="1"/>
    <col min="15659" max="15659" width="11" style="4" customWidth="1"/>
    <col min="15660" max="15662" width="8.88671875" style="4"/>
    <col min="15663" max="15663" width="21" style="4" customWidth="1"/>
    <col min="15664" max="15664" width="24.44140625" style="4" customWidth="1"/>
    <col min="15665" max="15873" width="8.88671875" style="4"/>
    <col min="15874" max="15874" width="3.6640625" style="4" customWidth="1"/>
    <col min="15875" max="15875" width="2.33203125" style="4" customWidth="1"/>
    <col min="15876" max="15877" width="3.6640625" style="4" customWidth="1"/>
    <col min="15878" max="15878" width="2.33203125" style="4" customWidth="1"/>
    <col min="15879" max="15880" width="3.6640625" style="4" customWidth="1"/>
    <col min="15881" max="15881" width="2.33203125" style="4" customWidth="1"/>
    <col min="15882" max="15883" width="3.6640625" style="4" customWidth="1"/>
    <col min="15884" max="15884" width="2.33203125" style="4" customWidth="1"/>
    <col min="15885" max="15886" width="3.6640625" style="4" customWidth="1"/>
    <col min="15887" max="15887" width="2.33203125" style="4" customWidth="1"/>
    <col min="15888" max="15889" width="3.6640625" style="4" customWidth="1"/>
    <col min="15890" max="15890" width="2.33203125" style="4" customWidth="1"/>
    <col min="15891" max="15892" width="3.6640625" style="4" customWidth="1"/>
    <col min="15893" max="15893" width="2.33203125" style="4" customWidth="1"/>
    <col min="15894" max="15895" width="3.6640625" style="4" customWidth="1"/>
    <col min="15896" max="15896" width="2.33203125" style="4" customWidth="1"/>
    <col min="15897" max="15898" width="3.6640625" style="4" customWidth="1"/>
    <col min="15899" max="15899" width="2.33203125" style="4" customWidth="1"/>
    <col min="15900" max="15901" width="3.6640625" style="4" customWidth="1"/>
    <col min="15902" max="15902" width="2.33203125" style="4" customWidth="1"/>
    <col min="15903" max="15903" width="3.6640625" style="4" customWidth="1"/>
    <col min="15904" max="15904" width="9.6640625" style="4" customWidth="1"/>
    <col min="15905" max="15914" width="3.6640625" style="4" customWidth="1"/>
    <col min="15915" max="15915" width="11" style="4" customWidth="1"/>
    <col min="15916" max="15918" width="8.88671875" style="4"/>
    <col min="15919" max="15919" width="21" style="4" customWidth="1"/>
    <col min="15920" max="15920" width="24.44140625" style="4" customWidth="1"/>
    <col min="15921" max="16129" width="8.88671875" style="4"/>
    <col min="16130" max="16130" width="3.6640625" style="4" customWidth="1"/>
    <col min="16131" max="16131" width="2.33203125" style="4" customWidth="1"/>
    <col min="16132" max="16133" width="3.6640625" style="4" customWidth="1"/>
    <col min="16134" max="16134" width="2.33203125" style="4" customWidth="1"/>
    <col min="16135" max="16136" width="3.6640625" style="4" customWidth="1"/>
    <col min="16137" max="16137" width="2.33203125" style="4" customWidth="1"/>
    <col min="16138" max="16139" width="3.6640625" style="4" customWidth="1"/>
    <col min="16140" max="16140" width="2.33203125" style="4" customWidth="1"/>
    <col min="16141" max="16142" width="3.6640625" style="4" customWidth="1"/>
    <col min="16143" max="16143" width="2.33203125" style="4" customWidth="1"/>
    <col min="16144" max="16145" width="3.6640625" style="4" customWidth="1"/>
    <col min="16146" max="16146" width="2.33203125" style="4" customWidth="1"/>
    <col min="16147" max="16148" width="3.6640625" style="4" customWidth="1"/>
    <col min="16149" max="16149" width="2.33203125" style="4" customWidth="1"/>
    <col min="16150" max="16151" width="3.6640625" style="4" customWidth="1"/>
    <col min="16152" max="16152" width="2.33203125" style="4" customWidth="1"/>
    <col min="16153" max="16154" width="3.6640625" style="4" customWidth="1"/>
    <col min="16155" max="16155" width="2.33203125" style="4" customWidth="1"/>
    <col min="16156" max="16157" width="3.6640625" style="4" customWidth="1"/>
    <col min="16158" max="16158" width="2.33203125" style="4" customWidth="1"/>
    <col min="16159" max="16159" width="3.6640625" style="4" customWidth="1"/>
    <col min="16160" max="16160" width="9.6640625" style="4" customWidth="1"/>
    <col min="16161" max="16170" width="3.6640625" style="4" customWidth="1"/>
    <col min="16171" max="16171" width="11" style="4" customWidth="1"/>
    <col min="16172" max="16174" width="8.88671875" style="4"/>
    <col min="16175" max="16175" width="21" style="4" customWidth="1"/>
    <col min="16176" max="16176" width="24.44140625" style="4" customWidth="1"/>
    <col min="16177" max="16384" width="8.88671875" style="4"/>
  </cols>
  <sheetData>
    <row r="1" spans="1:53" ht="13.8" thickBot="1" x14ac:dyDescent="0.3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1"/>
      <c r="AK1" s="1"/>
      <c r="AL1" s="1"/>
      <c r="AM1" s="1"/>
      <c r="AN1" s="1"/>
      <c r="AO1" s="1"/>
      <c r="AP1" s="1"/>
      <c r="AQ1" s="2" t="s">
        <v>1</v>
      </c>
      <c r="AR1" s="3"/>
      <c r="AT1" s="282" t="s">
        <v>2</v>
      </c>
      <c r="AU1" s="283"/>
      <c r="AV1" s="284"/>
      <c r="AZ1" s="5" t="s">
        <v>3</v>
      </c>
      <c r="BA1" s="75">
        <v>32</v>
      </c>
    </row>
    <row r="2" spans="1:53" ht="18.75" customHeight="1" thickBot="1" x14ac:dyDescent="0.35">
      <c r="A2" s="285" t="s">
        <v>4</v>
      </c>
      <c r="B2" s="286"/>
      <c r="C2" s="286"/>
      <c r="D2" s="286"/>
      <c r="E2" s="286"/>
      <c r="F2" s="286"/>
      <c r="G2" s="286"/>
      <c r="H2" s="286"/>
      <c r="I2" s="287"/>
      <c r="J2" s="288" t="s">
        <v>5</v>
      </c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90"/>
      <c r="Y2" s="291" t="s">
        <v>6</v>
      </c>
      <c r="Z2" s="292"/>
      <c r="AA2" s="292"/>
      <c r="AB2" s="292"/>
      <c r="AC2" s="293"/>
      <c r="AD2" s="294">
        <v>42756</v>
      </c>
      <c r="AE2" s="265"/>
      <c r="AF2" s="265"/>
      <c r="AG2" s="265"/>
      <c r="AH2" s="265"/>
      <c r="AI2" s="266"/>
      <c r="AJ2" s="6"/>
      <c r="AK2" s="6"/>
      <c r="AL2" s="6"/>
      <c r="AM2" s="6"/>
      <c r="AN2" s="6"/>
      <c r="AO2" s="6"/>
      <c r="AP2" s="6"/>
      <c r="AQ2" s="6"/>
      <c r="AR2" s="3"/>
      <c r="AT2" s="7" t="s">
        <v>7</v>
      </c>
      <c r="AU2" s="8" t="s">
        <v>8</v>
      </c>
      <c r="AV2" s="9" t="s">
        <v>9</v>
      </c>
      <c r="AW2" s="10" t="s">
        <v>10</v>
      </c>
      <c r="AX2" s="11" t="s">
        <v>11</v>
      </c>
      <c r="AY2" s="10" t="s">
        <v>12</v>
      </c>
      <c r="AZ2" s="5" t="s">
        <v>13</v>
      </c>
      <c r="BA2" s="75">
        <v>16</v>
      </c>
    </row>
    <row r="3" spans="1:53" ht="18.75" customHeight="1" thickBot="1" x14ac:dyDescent="0.35">
      <c r="A3" s="12" t="s">
        <v>14</v>
      </c>
      <c r="B3" s="267" t="s">
        <v>101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9"/>
      <c r="P3" s="270" t="s">
        <v>15</v>
      </c>
      <c r="Q3" s="271"/>
      <c r="R3" s="271"/>
      <c r="S3" s="272"/>
      <c r="T3" s="273"/>
      <c r="U3" s="273"/>
      <c r="V3" s="273"/>
      <c r="W3" s="273"/>
      <c r="X3" s="274"/>
      <c r="Y3" s="275" t="s">
        <v>16</v>
      </c>
      <c r="Z3" s="276"/>
      <c r="AA3" s="276"/>
      <c r="AB3" s="276"/>
      <c r="AC3" s="276"/>
      <c r="AD3" s="277"/>
      <c r="AE3" s="278" t="s">
        <v>17</v>
      </c>
      <c r="AF3" s="279"/>
      <c r="AG3" s="279" t="s">
        <v>18</v>
      </c>
      <c r="AH3" s="279"/>
      <c r="AI3" s="280"/>
      <c r="AJ3" s="6"/>
      <c r="AK3" s="6"/>
      <c r="AL3" s="6"/>
      <c r="AM3" s="6"/>
      <c r="AN3" s="6"/>
      <c r="AO3" s="6"/>
      <c r="AP3" s="6"/>
      <c r="AQ3" s="6"/>
      <c r="AR3" s="3"/>
      <c r="AT3" s="13">
        <v>1</v>
      </c>
      <c r="AU3" s="298" t="s">
        <v>191</v>
      </c>
      <c r="AV3" s="298" t="s">
        <v>446</v>
      </c>
      <c r="AW3" s="15">
        <f>VLOOKUP(AV3,Initial!G:K,5,FALSE)</f>
        <v>1200</v>
      </c>
      <c r="AX3" s="16">
        <f>VLOOKUP(AU3,AT$79:AU$174,2,FALSE)</f>
        <v>1185.4695015289756</v>
      </c>
      <c r="AY3" s="17">
        <f>IF(ISNA(VLOOKUP(AU3,AT$187:AU$287,2,FALSE)),AX3,VLOOKUP(AU3,AT$187:AU$287,2,FALSE))</f>
        <v>1185.4695015289756</v>
      </c>
    </row>
    <row r="4" spans="1:53" ht="24" customHeight="1" thickBot="1" x14ac:dyDescent="0.3">
      <c r="A4" s="258" t="s">
        <v>19</v>
      </c>
      <c r="B4" s="259"/>
      <c r="C4" s="259"/>
      <c r="D4" s="260"/>
      <c r="E4" s="261" t="s">
        <v>102</v>
      </c>
      <c r="F4" s="262"/>
      <c r="G4" s="262"/>
      <c r="H4" s="262"/>
      <c r="I4" s="262"/>
      <c r="J4" s="262"/>
      <c r="K4" s="262"/>
      <c r="L4" s="262"/>
      <c r="M4" s="263"/>
      <c r="N4" s="258" t="s">
        <v>103</v>
      </c>
      <c r="O4" s="259"/>
      <c r="P4" s="259"/>
      <c r="Q4" s="260"/>
      <c r="R4" s="264" t="s">
        <v>104</v>
      </c>
      <c r="S4" s="265"/>
      <c r="T4" s="265"/>
      <c r="U4" s="265"/>
      <c r="V4" s="265"/>
      <c r="W4" s="265"/>
      <c r="X4" s="265"/>
      <c r="Y4" s="265"/>
      <c r="Z4" s="265"/>
      <c r="AA4" s="266"/>
      <c r="AB4" s="258" t="s">
        <v>105</v>
      </c>
      <c r="AC4" s="259"/>
      <c r="AD4" s="259"/>
      <c r="AE4" s="260"/>
      <c r="AF4" s="264"/>
      <c r="AG4" s="265"/>
      <c r="AH4" s="265"/>
      <c r="AI4" s="266"/>
      <c r="AJ4" s="6"/>
      <c r="AK4" s="6"/>
      <c r="AL4" s="6"/>
      <c r="AM4" s="6"/>
      <c r="AN4" s="6"/>
      <c r="AO4" s="6"/>
      <c r="AP4" s="6"/>
      <c r="AQ4" s="6"/>
      <c r="AR4" s="3"/>
      <c r="AT4" s="18">
        <v>2</v>
      </c>
      <c r="AU4" s="298" t="s">
        <v>447</v>
      </c>
      <c r="AV4" s="298" t="s">
        <v>448</v>
      </c>
      <c r="AW4" s="15">
        <f>VLOOKUP(AV4,Initial!G:K,5,FALSE)</f>
        <v>1389.1906269778058</v>
      </c>
      <c r="AX4" s="19">
        <f>VLOOKUP(AU4,AT$79:AU$174,2,FALSE)</f>
        <v>1379.4866939693193</v>
      </c>
      <c r="AY4" s="20">
        <f>IF(ISNA(VLOOKUP(AU4,AT$187:AU$287,2,FALSE)),AX4,VLOOKUP(AU4,AT$187:AU$287,2,FALSE))</f>
        <v>1379.4866939693193</v>
      </c>
    </row>
    <row r="5" spans="1:53" ht="15.6" thickBot="1" x14ac:dyDescent="0.3">
      <c r="A5" s="1" t="s">
        <v>24</v>
      </c>
      <c r="B5" s="255" t="s">
        <v>24</v>
      </c>
      <c r="C5" s="256"/>
      <c r="D5" s="256"/>
      <c r="E5" s="256"/>
      <c r="F5" s="256"/>
      <c r="G5" s="256"/>
      <c r="H5" s="256"/>
      <c r="I5" s="256"/>
      <c r="J5" s="256"/>
      <c r="K5" s="257" t="s">
        <v>24</v>
      </c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3"/>
      <c r="AT5" s="18">
        <v>3</v>
      </c>
      <c r="AU5" s="298" t="s">
        <v>40</v>
      </c>
      <c r="AV5" s="298" t="s">
        <v>449</v>
      </c>
      <c r="AW5" s="15">
        <f>VLOOKUP(AV5,Initial!G:K,5,FALSE)</f>
        <v>1189.1105508037228</v>
      </c>
      <c r="AX5" s="19">
        <f>VLOOKUP(AU5,AT$79:AU$174,2,FALSE)</f>
        <v>1178.8739916110649</v>
      </c>
      <c r="AY5" s="20">
        <f>IF(ISNA(VLOOKUP(AU5,AT$187:AU$287,2,FALSE)),AX5,VLOOKUP(AU5,AT$187:AU$287,2,FALSE))</f>
        <v>1178.8739916110649</v>
      </c>
    </row>
    <row r="6" spans="1:53" ht="24" customHeight="1" thickBot="1" x14ac:dyDescent="0.3">
      <c r="A6" s="21" t="s">
        <v>26</v>
      </c>
      <c r="B6" s="22" t="s">
        <v>106</v>
      </c>
      <c r="C6" s="230" t="s">
        <v>28</v>
      </c>
      <c r="D6" s="231"/>
      <c r="E6" s="231"/>
      <c r="F6" s="231"/>
      <c r="G6" s="231"/>
      <c r="H6" s="232"/>
      <c r="I6" s="233">
        <v>1</v>
      </c>
      <c r="J6" s="234"/>
      <c r="K6" s="235" t="str">
        <f>"Pool "&amp;B6&amp;" - Round 1 - Court "&amp;I6</f>
        <v>Pool A - Round 1 - Court 1</v>
      </c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7"/>
      <c r="AJ6" s="6"/>
      <c r="AK6" s="6"/>
      <c r="AL6" s="6"/>
      <c r="AM6" s="6"/>
      <c r="AN6" s="6"/>
      <c r="AO6" s="6"/>
      <c r="AP6" s="6"/>
      <c r="AQ6" s="6"/>
      <c r="AT6" s="18">
        <v>4</v>
      </c>
      <c r="AU6" s="298" t="s">
        <v>450</v>
      </c>
      <c r="AV6" s="298" t="s">
        <v>451</v>
      </c>
      <c r="AW6" s="15">
        <f>VLOOKUP(AV6,Initial!G:K,5,FALSE)</f>
        <v>1200</v>
      </c>
      <c r="AX6" s="19">
        <f>VLOOKUP(AU6,AT$79:AU$174,2,FALSE)</f>
        <v>1246.5304984710244</v>
      </c>
      <c r="AY6" s="20">
        <f>IF(ISNA(VLOOKUP(AU6,AT$187:AU$287,2,FALSE)),AX6,VLOOKUP(AU6,AT$187:AU$287,2,FALSE))</f>
        <v>1246.5304984710244</v>
      </c>
    </row>
    <row r="7" spans="1:53" ht="27" customHeight="1" thickBot="1" x14ac:dyDescent="0.3">
      <c r="A7" s="23" t="s">
        <v>31</v>
      </c>
      <c r="B7" s="238" t="s">
        <v>8</v>
      </c>
      <c r="C7" s="239"/>
      <c r="D7" s="239"/>
      <c r="E7" s="239"/>
      <c r="F7" s="239"/>
      <c r="G7" s="239"/>
      <c r="H7" s="239"/>
      <c r="I7" s="239"/>
      <c r="J7" s="239"/>
      <c r="K7" s="239"/>
      <c r="L7" s="238" t="str">
        <f>IF($AK10=0,"Games Won","Matches Won")</f>
        <v>Matches Won</v>
      </c>
      <c r="M7" s="239"/>
      <c r="N7" s="239"/>
      <c r="O7" s="239"/>
      <c r="P7" s="239"/>
      <c r="Q7" s="240"/>
      <c r="R7" s="238" t="str">
        <f>IF($AK10=0,"Games Lost","Matches Lost")</f>
        <v>Matches Lost</v>
      </c>
      <c r="S7" s="241"/>
      <c r="T7" s="241"/>
      <c r="U7" s="241"/>
      <c r="V7" s="242"/>
      <c r="W7" s="243" t="s">
        <v>32</v>
      </c>
      <c r="X7" s="244"/>
      <c r="Y7" s="245"/>
      <c r="Z7" s="243" t="s">
        <v>33</v>
      </c>
      <c r="AA7" s="244"/>
      <c r="AB7" s="245"/>
      <c r="AC7" s="246" t="s">
        <v>34</v>
      </c>
      <c r="AD7" s="247"/>
      <c r="AE7" s="248"/>
      <c r="AF7" s="24" t="s">
        <v>35</v>
      </c>
      <c r="AG7" s="25" t="s">
        <v>7</v>
      </c>
      <c r="AH7" s="228" t="s">
        <v>36</v>
      </c>
      <c r="AI7" s="229"/>
      <c r="AJ7" s="26"/>
      <c r="AK7" s="27">
        <v>1</v>
      </c>
      <c r="AL7" s="28" t="s">
        <v>37</v>
      </c>
      <c r="AM7" s="28"/>
      <c r="AN7" s="28"/>
      <c r="AO7" s="28"/>
      <c r="AP7" s="28"/>
      <c r="AQ7" s="28"/>
      <c r="AR7" s="29"/>
      <c r="AT7" s="18">
        <v>5</v>
      </c>
      <c r="AU7" s="298" t="s">
        <v>200</v>
      </c>
      <c r="AV7" s="298" t="s">
        <v>452</v>
      </c>
      <c r="AW7" s="15">
        <f>VLOOKUP(AV7,Initial!G:K,5,FALSE)</f>
        <v>1200</v>
      </c>
      <c r="AX7" s="19">
        <f>VLOOKUP(AU7,AT$79:AU$174,2,FALSE)</f>
        <v>1153.4695015289756</v>
      </c>
      <c r="AY7" s="20">
        <f>IF(ISNA(VLOOKUP(AU7,AT$187:AU$287,2,FALSE)),AX7,VLOOKUP(AU7,AT$187:AU$287,2,FALSE))</f>
        <v>1153.4695015289756</v>
      </c>
    </row>
    <row r="8" spans="1:53" ht="18.75" customHeight="1" thickBot="1" x14ac:dyDescent="0.3">
      <c r="A8" s="194" t="str">
        <f>IF($AK9&gt;0,"1","")</f>
        <v>1</v>
      </c>
      <c r="B8" s="225" t="s">
        <v>8</v>
      </c>
      <c r="C8" s="226"/>
      <c r="D8" s="227"/>
      <c r="E8" s="217" t="str">
        <f>AU3</f>
        <v>SCWE12FLYERS</v>
      </c>
      <c r="F8" s="218"/>
      <c r="G8" s="218"/>
      <c r="H8" s="218"/>
      <c r="I8" s="218"/>
      <c r="J8" s="218"/>
      <c r="K8" s="219"/>
      <c r="L8" s="201">
        <f>IF($AK10=0,AF64,AF46)</f>
        <v>1</v>
      </c>
      <c r="M8" s="202"/>
      <c r="N8" s="202"/>
      <c r="O8" s="202"/>
      <c r="P8" s="202"/>
      <c r="Q8" s="240"/>
      <c r="R8" s="201">
        <f>IF($AK10=0,AG64,AG46)</f>
        <v>2</v>
      </c>
      <c r="S8" s="202"/>
      <c r="T8" s="202"/>
      <c r="U8" s="202"/>
      <c r="V8" s="202"/>
      <c r="W8" s="201">
        <f>AQ24</f>
        <v>-2</v>
      </c>
      <c r="X8" s="202"/>
      <c r="Y8" s="202"/>
      <c r="Z8" s="174">
        <f>IF(AF58&gt;0,(AQ24/AF58),0)</f>
        <v>-2.3529411764705882E-2</v>
      </c>
      <c r="AA8" s="175"/>
      <c r="AB8" s="175"/>
      <c r="AC8" s="178">
        <f>IF(AF72=0,0,(AF64/AF72))</f>
        <v>0.33333333333333331</v>
      </c>
      <c r="AD8" s="179"/>
      <c r="AE8" s="180"/>
      <c r="AF8" s="184">
        <v>3</v>
      </c>
      <c r="AG8" s="184">
        <v>1</v>
      </c>
      <c r="AH8" s="186"/>
      <c r="AI8" s="187"/>
      <c r="AJ8" s="26"/>
      <c r="AK8" s="27">
        <v>6</v>
      </c>
      <c r="AL8" s="28" t="s">
        <v>38</v>
      </c>
      <c r="AM8" s="28"/>
      <c r="AN8" s="28"/>
      <c r="AO8" s="28"/>
      <c r="AP8" s="28"/>
      <c r="AQ8" s="28"/>
      <c r="AR8" s="29"/>
      <c r="AT8" s="18">
        <v>6</v>
      </c>
      <c r="AU8" s="298" t="s">
        <v>198</v>
      </c>
      <c r="AV8" s="298" t="s">
        <v>453</v>
      </c>
      <c r="AW8" s="15">
        <f>VLOOKUP(AV8,Initial!G:K,5,FALSE)</f>
        <v>1157.2304177245248</v>
      </c>
      <c r="AX8" s="19">
        <f>VLOOKUP(AU8,AT$79:AU$174,2,FALSE)</f>
        <v>1186.5140380302898</v>
      </c>
      <c r="AY8" s="20">
        <f>IF(ISNA(VLOOKUP(AU8,AT$187:AU$287,2,FALSE)),AX8,VLOOKUP(AU8,AT$187:AU$287,2,FALSE))</f>
        <v>1186.5140380302898</v>
      </c>
    </row>
    <row r="9" spans="1:53" ht="18.75" customHeight="1" thickBot="1" x14ac:dyDescent="0.3">
      <c r="A9" s="195"/>
      <c r="B9" s="222" t="s">
        <v>9</v>
      </c>
      <c r="C9" s="223"/>
      <c r="D9" s="224"/>
      <c r="E9" s="215" t="str">
        <f>AV3</f>
        <v>FJ2SCWEA1PM</v>
      </c>
      <c r="F9" s="216"/>
      <c r="G9" s="216"/>
      <c r="H9" s="216"/>
      <c r="I9" s="216"/>
      <c r="J9" s="216"/>
      <c r="K9" s="216"/>
      <c r="L9" s="220"/>
      <c r="M9" s="221"/>
      <c r="N9" s="221"/>
      <c r="O9" s="221"/>
      <c r="P9" s="221"/>
      <c r="Q9" s="240"/>
      <c r="R9" s="220"/>
      <c r="S9" s="221"/>
      <c r="T9" s="221"/>
      <c r="U9" s="221"/>
      <c r="V9" s="221"/>
      <c r="W9" s="220"/>
      <c r="X9" s="221"/>
      <c r="Y9" s="221"/>
      <c r="Z9" s="205"/>
      <c r="AA9" s="206"/>
      <c r="AB9" s="206"/>
      <c r="AC9" s="207"/>
      <c r="AD9" s="208"/>
      <c r="AE9" s="209"/>
      <c r="AF9" s="210"/>
      <c r="AG9" s="210"/>
      <c r="AH9" s="211"/>
      <c r="AI9" s="212"/>
      <c r="AJ9" s="26"/>
      <c r="AK9" s="27">
        <v>4</v>
      </c>
      <c r="AL9" s="28" t="s">
        <v>39</v>
      </c>
      <c r="AM9" s="26"/>
      <c r="AN9" s="26"/>
      <c r="AO9" s="26"/>
      <c r="AP9" s="26"/>
      <c r="AQ9" s="26"/>
      <c r="AR9" s="3"/>
      <c r="AT9" s="18">
        <v>7</v>
      </c>
      <c r="AU9" s="298" t="s">
        <v>29</v>
      </c>
      <c r="AV9" s="298" t="s">
        <v>454</v>
      </c>
      <c r="AW9" s="15">
        <f>VLOOKUP(AV9,Initial!G:K,5,FALSE)</f>
        <v>1200</v>
      </c>
      <c r="AX9" s="19">
        <f>VLOOKUP(AU9,AT$79:AU$174,2,FALSE)</f>
        <v>1190.6568718953795</v>
      </c>
      <c r="AY9" s="20">
        <f>IF(ISNA(VLOOKUP(AU9,AT$187:AU$287,2,FALSE)),AX9,VLOOKUP(AU9,AT$187:AU$287,2,FALSE))</f>
        <v>1190.6568718953795</v>
      </c>
    </row>
    <row r="10" spans="1:53" ht="18.75" customHeight="1" thickBot="1" x14ac:dyDescent="0.3">
      <c r="A10" s="194" t="str">
        <f>IF($AK9&gt;1,"2","")</f>
        <v>2</v>
      </c>
      <c r="B10" s="225" t="s">
        <v>8</v>
      </c>
      <c r="C10" s="226"/>
      <c r="D10" s="227"/>
      <c r="E10" s="217" t="str">
        <f>AU6</f>
        <v>Excell Palmetto State 12</v>
      </c>
      <c r="F10" s="218"/>
      <c r="G10" s="218"/>
      <c r="H10" s="218"/>
      <c r="I10" s="218"/>
      <c r="J10" s="218"/>
      <c r="K10" s="219"/>
      <c r="L10" s="201">
        <f>IF($AK10=0,AF65,AF47)</f>
        <v>3</v>
      </c>
      <c r="M10" s="202"/>
      <c r="N10" s="202"/>
      <c r="O10" s="202"/>
      <c r="P10" s="202"/>
      <c r="Q10" s="240"/>
      <c r="R10" s="201">
        <f>IF($AK10=0,AG65,AG47)</f>
        <v>0</v>
      </c>
      <c r="S10" s="202"/>
      <c r="T10" s="202"/>
      <c r="U10" s="202"/>
      <c r="V10" s="202"/>
      <c r="W10" s="201">
        <f>AQ25</f>
        <v>22</v>
      </c>
      <c r="X10" s="202"/>
      <c r="Y10" s="202"/>
      <c r="Z10" s="174">
        <f>IF(AF59&gt;0,(AQ25/AF59),0)</f>
        <v>0.30136986301369861</v>
      </c>
      <c r="AA10" s="175"/>
      <c r="AB10" s="175"/>
      <c r="AC10" s="178">
        <f>IF(AF73=0,0,(AF65/AF73))</f>
        <v>1</v>
      </c>
      <c r="AD10" s="179"/>
      <c r="AE10" s="180"/>
      <c r="AF10" s="184">
        <v>1</v>
      </c>
      <c r="AG10" s="184">
        <v>1</v>
      </c>
      <c r="AH10" s="186"/>
      <c r="AI10" s="187"/>
      <c r="AJ10" s="26"/>
      <c r="AK10" s="27">
        <v>1</v>
      </c>
      <c r="AL10" s="28" t="s">
        <v>42</v>
      </c>
      <c r="AM10" s="28"/>
      <c r="AN10" s="28"/>
      <c r="AO10" s="28"/>
      <c r="AP10" s="28"/>
      <c r="AQ10" s="28"/>
      <c r="AR10" s="29"/>
      <c r="AT10" s="18">
        <v>8</v>
      </c>
      <c r="AU10" s="298" t="s">
        <v>455</v>
      </c>
      <c r="AV10" s="298" t="s">
        <v>456</v>
      </c>
      <c r="AW10" s="15">
        <f>VLOOKUP(AV10,Initial!G:K,5,FALSE)</f>
        <v>1200</v>
      </c>
      <c r="AX10" s="19">
        <f>VLOOKUP(AU10,AT$79:AU$174,2,FALSE)</f>
        <v>1214.5304984710244</v>
      </c>
      <c r="AY10" s="20">
        <f>IF(ISNA(VLOOKUP(AU10,AT$187:AU$287,2,FALSE)),AX10,VLOOKUP(AU10,AT$187:AU$287,2,FALSE))</f>
        <v>1214.5304984710244</v>
      </c>
    </row>
    <row r="11" spans="1:53" ht="18.75" customHeight="1" thickBot="1" x14ac:dyDescent="0.3">
      <c r="A11" s="195"/>
      <c r="B11" s="213" t="s">
        <v>9</v>
      </c>
      <c r="C11" s="214"/>
      <c r="D11" s="214"/>
      <c r="E11" s="215" t="str">
        <f>AV6</f>
        <v>FJ2EXCEL3PM</v>
      </c>
      <c r="F11" s="216"/>
      <c r="G11" s="216"/>
      <c r="H11" s="216"/>
      <c r="I11" s="216"/>
      <c r="J11" s="216"/>
      <c r="K11" s="216"/>
      <c r="L11" s="220"/>
      <c r="M11" s="221"/>
      <c r="N11" s="221"/>
      <c r="O11" s="221"/>
      <c r="P11" s="221"/>
      <c r="Q11" s="240"/>
      <c r="R11" s="220"/>
      <c r="S11" s="221"/>
      <c r="T11" s="221"/>
      <c r="U11" s="221"/>
      <c r="V11" s="221"/>
      <c r="W11" s="220"/>
      <c r="X11" s="221"/>
      <c r="Y11" s="221"/>
      <c r="Z11" s="205"/>
      <c r="AA11" s="206"/>
      <c r="AB11" s="206"/>
      <c r="AC11" s="207"/>
      <c r="AD11" s="208"/>
      <c r="AE11" s="209"/>
      <c r="AF11" s="210"/>
      <c r="AG11" s="210"/>
      <c r="AH11" s="211"/>
      <c r="AI11" s="212"/>
      <c r="AJ11" s="26"/>
      <c r="AK11" s="27">
        <v>1</v>
      </c>
      <c r="AL11" s="28" t="s">
        <v>44</v>
      </c>
      <c r="AM11" s="26"/>
      <c r="AN11" s="26"/>
      <c r="AO11" s="26"/>
      <c r="AP11" s="26"/>
      <c r="AQ11" s="26"/>
      <c r="AR11" s="3"/>
      <c r="AT11" s="18">
        <v>9</v>
      </c>
      <c r="AU11" s="14"/>
      <c r="AV11" s="14"/>
      <c r="AW11" s="15" t="e">
        <f>VLOOKUP(AV11,[2]Initial!G:K,5,FALSE)</f>
        <v>#N/A</v>
      </c>
      <c r="AX11" s="19" t="e">
        <f>VLOOKUP(AU11,AT$79:AU$174,2,FALSE)</f>
        <v>#N/A</v>
      </c>
      <c r="AY11" s="20" t="e">
        <f>IF(ISNA(VLOOKUP(AU11,AT$187:AU$287,2,FALSE)),AX11,VLOOKUP(AU11,AT$187:AU$287,2,FALSE))</f>
        <v>#N/A</v>
      </c>
    </row>
    <row r="12" spans="1:53" ht="18.75" customHeight="1" x14ac:dyDescent="0.25">
      <c r="A12" s="194" t="str">
        <f>IF($AK9&gt;2,"3","")</f>
        <v>3</v>
      </c>
      <c r="B12" s="196" t="s">
        <v>8</v>
      </c>
      <c r="C12" s="197"/>
      <c r="D12" s="197"/>
      <c r="E12" s="217" t="str">
        <f>AU7</f>
        <v>Kershaw Dev 12 Black</v>
      </c>
      <c r="F12" s="218"/>
      <c r="G12" s="218"/>
      <c r="H12" s="218"/>
      <c r="I12" s="218"/>
      <c r="J12" s="218"/>
      <c r="K12" s="219"/>
      <c r="L12" s="201">
        <f>IF($AK10=0,AF66,AF48)</f>
        <v>0</v>
      </c>
      <c r="M12" s="202"/>
      <c r="N12" s="202"/>
      <c r="O12" s="202"/>
      <c r="P12" s="202"/>
      <c r="Q12" s="240"/>
      <c r="R12" s="201">
        <f>IF($AK10=0,AG66,AG48)</f>
        <v>3</v>
      </c>
      <c r="S12" s="202"/>
      <c r="T12" s="202"/>
      <c r="U12" s="202"/>
      <c r="V12" s="202"/>
      <c r="W12" s="201">
        <f>AQ26</f>
        <v>-45</v>
      </c>
      <c r="X12" s="202"/>
      <c r="Y12" s="202"/>
      <c r="Z12" s="174">
        <f>IF(AF60&gt;0,(AQ26/AF60),0)</f>
        <v>-0.52325581395348841</v>
      </c>
      <c r="AA12" s="175"/>
      <c r="AB12" s="175"/>
      <c r="AC12" s="178">
        <f>IF(AF74=0,0,(AF66/AF74))</f>
        <v>0</v>
      </c>
      <c r="AD12" s="179"/>
      <c r="AE12" s="180"/>
      <c r="AF12" s="184">
        <v>4</v>
      </c>
      <c r="AG12" s="184">
        <v>1</v>
      </c>
      <c r="AH12" s="186"/>
      <c r="AI12" s="187"/>
      <c r="AJ12" s="30"/>
      <c r="AK12" s="27">
        <v>3</v>
      </c>
      <c r="AL12" s="31" t="s">
        <v>45</v>
      </c>
      <c r="AM12" s="28"/>
      <c r="AN12" s="28"/>
      <c r="AO12" s="28"/>
      <c r="AP12" s="28"/>
      <c r="AQ12" s="28"/>
      <c r="AR12" s="29"/>
      <c r="AT12" s="76">
        <v>10</v>
      </c>
      <c r="AU12" s="77" t="s">
        <v>107</v>
      </c>
      <c r="AV12" s="78" t="s">
        <v>108</v>
      </c>
    </row>
    <row r="13" spans="1:53" ht="18.75" customHeight="1" thickBot="1" x14ac:dyDescent="0.3">
      <c r="A13" s="195"/>
      <c r="B13" s="213" t="s">
        <v>9</v>
      </c>
      <c r="C13" s="214"/>
      <c r="D13" s="214"/>
      <c r="E13" s="215" t="str">
        <f>AV7</f>
        <v>FJ2KERSH3PM</v>
      </c>
      <c r="F13" s="216"/>
      <c r="G13" s="216"/>
      <c r="H13" s="216"/>
      <c r="I13" s="216"/>
      <c r="J13" s="216"/>
      <c r="K13" s="216"/>
      <c r="L13" s="220"/>
      <c r="M13" s="221"/>
      <c r="N13" s="221"/>
      <c r="O13" s="221"/>
      <c r="P13" s="221"/>
      <c r="Q13" s="240"/>
      <c r="R13" s="220"/>
      <c r="S13" s="221"/>
      <c r="T13" s="221"/>
      <c r="U13" s="221"/>
      <c r="V13" s="221"/>
      <c r="W13" s="220"/>
      <c r="X13" s="221"/>
      <c r="Y13" s="221"/>
      <c r="Z13" s="205"/>
      <c r="AA13" s="206"/>
      <c r="AB13" s="206"/>
      <c r="AC13" s="207"/>
      <c r="AD13" s="208"/>
      <c r="AE13" s="209"/>
      <c r="AF13" s="210"/>
      <c r="AG13" s="210"/>
      <c r="AH13" s="211"/>
      <c r="AI13" s="212"/>
      <c r="AJ13" s="30"/>
      <c r="AK13" s="32"/>
      <c r="AL13" s="33"/>
      <c r="AM13" s="33"/>
      <c r="AN13" s="33"/>
      <c r="AO13" s="33"/>
      <c r="AP13" s="33"/>
      <c r="AQ13" s="26"/>
      <c r="AR13" s="3"/>
      <c r="AT13" s="76">
        <v>11</v>
      </c>
      <c r="AU13" s="77" t="s">
        <v>109</v>
      </c>
      <c r="AV13" s="78" t="s">
        <v>110</v>
      </c>
    </row>
    <row r="14" spans="1:53" ht="18.75" customHeight="1" x14ac:dyDescent="0.25">
      <c r="A14" s="194" t="str">
        <f>IF($AK9&gt;3,"4","")</f>
        <v>4</v>
      </c>
      <c r="B14" s="196" t="s">
        <v>8</v>
      </c>
      <c r="C14" s="197"/>
      <c r="D14" s="197"/>
      <c r="E14" s="217" t="str">
        <f>AU10</f>
        <v>Crossfire 12 Jrs</v>
      </c>
      <c r="F14" s="218"/>
      <c r="G14" s="218"/>
      <c r="H14" s="218"/>
      <c r="I14" s="218"/>
      <c r="J14" s="218"/>
      <c r="K14" s="219"/>
      <c r="L14" s="201">
        <f>IF($AK10=0,AF67,AF49)</f>
        <v>2</v>
      </c>
      <c r="M14" s="202"/>
      <c r="N14" s="202"/>
      <c r="O14" s="202"/>
      <c r="P14" s="202"/>
      <c r="Q14" s="240"/>
      <c r="R14" s="201">
        <f>IF($AK10=0,AG67,AG49)</f>
        <v>1</v>
      </c>
      <c r="S14" s="202"/>
      <c r="T14" s="202"/>
      <c r="U14" s="202"/>
      <c r="V14" s="202"/>
      <c r="W14" s="201">
        <f>AQ27</f>
        <v>25</v>
      </c>
      <c r="X14" s="202"/>
      <c r="Y14" s="202"/>
      <c r="Z14" s="174">
        <f>IF(AF61&gt;0,(AQ27/AF61),0)</f>
        <v>0.28409090909090912</v>
      </c>
      <c r="AA14" s="175"/>
      <c r="AB14" s="175"/>
      <c r="AC14" s="178">
        <f>IF(AF75=0,0,(AF67/AF75))</f>
        <v>0.66666666666666663</v>
      </c>
      <c r="AD14" s="179"/>
      <c r="AE14" s="180"/>
      <c r="AF14" s="184">
        <v>2</v>
      </c>
      <c r="AG14" s="184">
        <v>1</v>
      </c>
      <c r="AH14" s="186"/>
      <c r="AI14" s="187"/>
      <c r="AJ14" s="6"/>
      <c r="AK14" s="33"/>
      <c r="AL14" s="33"/>
      <c r="AM14" s="33"/>
      <c r="AN14" s="33"/>
      <c r="AO14" s="33"/>
      <c r="AP14" s="33"/>
      <c r="AQ14" s="28"/>
      <c r="AR14" s="29"/>
      <c r="AT14" s="76">
        <v>12</v>
      </c>
      <c r="AU14" s="77" t="s">
        <v>111</v>
      </c>
      <c r="AV14" s="78" t="s">
        <v>112</v>
      </c>
    </row>
    <row r="15" spans="1:53" ht="18.75" customHeight="1" thickBot="1" x14ac:dyDescent="0.3">
      <c r="A15" s="195"/>
      <c r="B15" s="213" t="s">
        <v>9</v>
      </c>
      <c r="C15" s="214"/>
      <c r="D15" s="214"/>
      <c r="E15" s="215" t="str">
        <f>AV10</f>
        <v>FJ2CROSF3PM</v>
      </c>
      <c r="F15" s="216"/>
      <c r="G15" s="216"/>
      <c r="H15" s="216"/>
      <c r="I15" s="216"/>
      <c r="J15" s="216"/>
      <c r="K15" s="216"/>
      <c r="L15" s="220"/>
      <c r="M15" s="221"/>
      <c r="N15" s="221"/>
      <c r="O15" s="221"/>
      <c r="P15" s="221"/>
      <c r="Q15" s="240"/>
      <c r="R15" s="220"/>
      <c r="S15" s="221"/>
      <c r="T15" s="221"/>
      <c r="U15" s="221"/>
      <c r="V15" s="221"/>
      <c r="W15" s="220"/>
      <c r="X15" s="221"/>
      <c r="Y15" s="221"/>
      <c r="Z15" s="205"/>
      <c r="AA15" s="206"/>
      <c r="AB15" s="206"/>
      <c r="AC15" s="207"/>
      <c r="AD15" s="208"/>
      <c r="AE15" s="209"/>
      <c r="AF15" s="210"/>
      <c r="AG15" s="210"/>
      <c r="AH15" s="211"/>
      <c r="AI15" s="212"/>
      <c r="AJ15" s="6"/>
      <c r="AK15" s="33"/>
      <c r="AL15" s="33"/>
      <c r="AM15" s="33"/>
      <c r="AN15" s="33"/>
      <c r="AO15" s="33"/>
      <c r="AP15" s="33"/>
      <c r="AQ15" s="6"/>
      <c r="AR15" s="3"/>
      <c r="AT15" s="76">
        <v>13</v>
      </c>
      <c r="AU15" s="77" t="s">
        <v>113</v>
      </c>
      <c r="AV15" s="78" t="s">
        <v>114</v>
      </c>
    </row>
    <row r="16" spans="1:53" ht="18.75" customHeight="1" x14ac:dyDescent="0.25">
      <c r="A16" s="194" t="str">
        <f>IF($AK9&gt;4,"5","")</f>
        <v/>
      </c>
      <c r="B16" s="196" t="s">
        <v>8</v>
      </c>
      <c r="C16" s="197"/>
      <c r="D16" s="197"/>
      <c r="E16" s="198">
        <f>AU19</f>
        <v>0</v>
      </c>
      <c r="F16" s="199"/>
      <c r="G16" s="199"/>
      <c r="H16" s="199"/>
      <c r="I16" s="199"/>
      <c r="J16" s="199"/>
      <c r="K16" s="200"/>
      <c r="L16" s="201">
        <f>IF($AK10=0,AF68,AF50)</f>
        <v>0</v>
      </c>
      <c r="M16" s="202"/>
      <c r="N16" s="202"/>
      <c r="O16" s="202"/>
      <c r="P16" s="202"/>
      <c r="Q16" s="240"/>
      <c r="R16" s="201">
        <f>IF($AK10=0,AG68,AG50)</f>
        <v>0</v>
      </c>
      <c r="S16" s="202"/>
      <c r="T16" s="202"/>
      <c r="U16" s="202"/>
      <c r="V16" s="202"/>
      <c r="W16" s="201">
        <f>AQ28</f>
        <v>0</v>
      </c>
      <c r="X16" s="202"/>
      <c r="Y16" s="202"/>
      <c r="Z16" s="174">
        <f>IF(AF62&gt;0,(AQ28/AF62),0)</f>
        <v>0</v>
      </c>
      <c r="AA16" s="175"/>
      <c r="AB16" s="175"/>
      <c r="AC16" s="178">
        <f>IF(AF76=0,0,(AF68/AF76))</f>
        <v>0</v>
      </c>
      <c r="AD16" s="179"/>
      <c r="AE16" s="180"/>
      <c r="AF16" s="184"/>
      <c r="AG16" s="184"/>
      <c r="AH16" s="186"/>
      <c r="AI16" s="187"/>
      <c r="AJ16" s="6"/>
      <c r="AK16" s="33"/>
      <c r="AL16" s="33"/>
      <c r="AM16" s="33"/>
      <c r="AN16" s="33"/>
      <c r="AO16" s="33"/>
      <c r="AP16" s="33"/>
      <c r="AQ16" s="6"/>
      <c r="AR16" s="3"/>
      <c r="AT16" s="76">
        <v>14</v>
      </c>
      <c r="AU16" s="77" t="s">
        <v>115</v>
      </c>
      <c r="AV16" s="78" t="s">
        <v>116</v>
      </c>
    </row>
    <row r="17" spans="1:48" ht="18.75" customHeight="1" thickBot="1" x14ac:dyDescent="0.3">
      <c r="A17" s="195"/>
      <c r="B17" s="190" t="s">
        <v>9</v>
      </c>
      <c r="C17" s="191"/>
      <c r="D17" s="191"/>
      <c r="E17" s="192">
        <f>AV19</f>
        <v>0</v>
      </c>
      <c r="F17" s="193"/>
      <c r="G17" s="193"/>
      <c r="H17" s="193"/>
      <c r="I17" s="193"/>
      <c r="J17" s="193"/>
      <c r="K17" s="193"/>
      <c r="L17" s="203"/>
      <c r="M17" s="204"/>
      <c r="N17" s="204"/>
      <c r="O17" s="204"/>
      <c r="P17" s="204"/>
      <c r="Q17" s="240"/>
      <c r="R17" s="203"/>
      <c r="S17" s="204"/>
      <c r="T17" s="204"/>
      <c r="U17" s="204"/>
      <c r="V17" s="204"/>
      <c r="W17" s="203"/>
      <c r="X17" s="204"/>
      <c r="Y17" s="204"/>
      <c r="Z17" s="176"/>
      <c r="AA17" s="177"/>
      <c r="AB17" s="177"/>
      <c r="AC17" s="181"/>
      <c r="AD17" s="182"/>
      <c r="AE17" s="183"/>
      <c r="AF17" s="185"/>
      <c r="AG17" s="185"/>
      <c r="AH17" s="188"/>
      <c r="AI17" s="189"/>
      <c r="AJ17" s="6"/>
      <c r="AK17" s="33"/>
      <c r="AL17" s="33"/>
      <c r="AM17" s="33"/>
      <c r="AN17" s="33"/>
      <c r="AO17" s="33"/>
      <c r="AP17" s="33"/>
      <c r="AQ17" s="6"/>
      <c r="AR17" s="3"/>
      <c r="AT17" s="76">
        <v>15</v>
      </c>
      <c r="AU17" s="77" t="s">
        <v>117</v>
      </c>
      <c r="AV17" s="78" t="s">
        <v>118</v>
      </c>
    </row>
    <row r="18" spans="1:48" ht="21" customHeight="1" thickTop="1" thickBot="1" x14ac:dyDescent="0.3">
      <c r="A18" s="34"/>
      <c r="B18" s="171" t="s">
        <v>119</v>
      </c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3"/>
      <c r="AJ18" s="6"/>
      <c r="AK18" s="33"/>
      <c r="AL18" s="33"/>
      <c r="AM18" s="33"/>
      <c r="AN18" s="33"/>
      <c r="AO18" s="33"/>
      <c r="AP18" s="33"/>
      <c r="AQ18" s="6"/>
      <c r="AR18" s="3"/>
      <c r="AT18" s="76">
        <v>16</v>
      </c>
      <c r="AU18" s="77" t="s">
        <v>120</v>
      </c>
      <c r="AV18" s="78" t="s">
        <v>121</v>
      </c>
    </row>
    <row r="19" spans="1:48" ht="13.8" thickTop="1" x14ac:dyDescent="0.25">
      <c r="A19" s="4" t="s">
        <v>47</v>
      </c>
      <c r="B19" s="160">
        <v>6.25E-2</v>
      </c>
      <c r="C19" s="161"/>
      <c r="D19" s="162"/>
      <c r="E19" s="160">
        <v>8.3333333333333329E-2</v>
      </c>
      <c r="F19" s="161"/>
      <c r="G19" s="162"/>
      <c r="H19" s="160">
        <v>0.10416666666666667</v>
      </c>
      <c r="I19" s="161"/>
      <c r="J19" s="162"/>
      <c r="K19" s="160"/>
      <c r="L19" s="161"/>
      <c r="M19" s="162"/>
      <c r="N19" s="160"/>
      <c r="O19" s="161"/>
      <c r="P19" s="162"/>
      <c r="Q19" s="160"/>
      <c r="R19" s="161"/>
      <c r="S19" s="162"/>
      <c r="T19" s="160"/>
      <c r="U19" s="161"/>
      <c r="V19" s="162"/>
      <c r="W19" s="160"/>
      <c r="X19" s="161"/>
      <c r="Y19" s="162"/>
      <c r="Z19" s="160"/>
      <c r="AA19" s="161"/>
      <c r="AB19" s="162"/>
      <c r="AC19" s="160"/>
      <c r="AD19" s="161"/>
      <c r="AE19" s="162"/>
      <c r="AF19" s="163" t="s">
        <v>48</v>
      </c>
      <c r="AG19" s="164"/>
      <c r="AH19" s="164"/>
      <c r="AI19" s="164"/>
      <c r="AJ19" s="165"/>
      <c r="AK19" s="165"/>
      <c r="AL19" s="165"/>
      <c r="AM19" s="165"/>
      <c r="AN19" s="165"/>
      <c r="AO19" s="165"/>
      <c r="AP19" s="165"/>
      <c r="AQ19" s="166"/>
      <c r="AT19" s="76"/>
      <c r="AU19" s="77"/>
      <c r="AV19" s="78"/>
    </row>
    <row r="20" spans="1:48" x14ac:dyDescent="0.25">
      <c r="A20" s="35" t="s">
        <v>49</v>
      </c>
      <c r="B20" s="157"/>
      <c r="C20" s="158"/>
      <c r="D20" s="159"/>
      <c r="E20" s="157"/>
      <c r="F20" s="158"/>
      <c r="G20" s="159"/>
      <c r="H20" s="157"/>
      <c r="I20" s="158"/>
      <c r="J20" s="159"/>
      <c r="K20" s="157"/>
      <c r="L20" s="158"/>
      <c r="M20" s="159"/>
      <c r="N20" s="157"/>
      <c r="O20" s="158"/>
      <c r="P20" s="159"/>
      <c r="Q20" s="157"/>
      <c r="R20" s="158"/>
      <c r="S20" s="159"/>
      <c r="T20" s="157"/>
      <c r="U20" s="158"/>
      <c r="V20" s="159"/>
      <c r="W20" s="157"/>
      <c r="X20" s="158"/>
      <c r="Y20" s="159"/>
      <c r="Z20" s="157"/>
      <c r="AA20" s="158"/>
      <c r="AB20" s="159"/>
      <c r="AC20" s="157"/>
      <c r="AD20" s="158"/>
      <c r="AE20" s="159"/>
      <c r="AF20" s="163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7"/>
      <c r="AT20" s="76"/>
      <c r="AU20" s="77"/>
      <c r="AV20" s="78"/>
    </row>
    <row r="21" spans="1:48" x14ac:dyDescent="0.25">
      <c r="A21" s="35" t="s">
        <v>50</v>
      </c>
      <c r="B21" s="157"/>
      <c r="C21" s="158"/>
      <c r="D21" s="159"/>
      <c r="E21" s="157"/>
      <c r="F21" s="158"/>
      <c r="G21" s="159"/>
      <c r="H21" s="157"/>
      <c r="I21" s="158"/>
      <c r="J21" s="159"/>
      <c r="K21" s="157"/>
      <c r="L21" s="158"/>
      <c r="M21" s="159"/>
      <c r="N21" s="157"/>
      <c r="O21" s="158"/>
      <c r="P21" s="159"/>
      <c r="Q21" s="157"/>
      <c r="R21" s="158"/>
      <c r="S21" s="159"/>
      <c r="T21" s="157"/>
      <c r="U21" s="158"/>
      <c r="V21" s="159"/>
      <c r="W21" s="157"/>
      <c r="X21" s="158"/>
      <c r="Y21" s="159"/>
      <c r="Z21" s="157"/>
      <c r="AA21" s="158"/>
      <c r="AB21" s="159"/>
      <c r="AC21" s="157"/>
      <c r="AD21" s="158"/>
      <c r="AE21" s="159"/>
      <c r="AF21" s="163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7"/>
      <c r="AT21" s="76"/>
      <c r="AU21" s="77"/>
      <c r="AV21" s="78"/>
    </row>
    <row r="22" spans="1:48" ht="13.8" thickBot="1" x14ac:dyDescent="0.3">
      <c r="A22" s="6"/>
      <c r="B22" s="154" t="s">
        <v>51</v>
      </c>
      <c r="C22" s="155"/>
      <c r="D22" s="156"/>
      <c r="E22" s="154" t="str">
        <f>IF(AK8&gt;1,"Match 2","")</f>
        <v>Match 2</v>
      </c>
      <c r="F22" s="155"/>
      <c r="G22" s="156"/>
      <c r="H22" s="154" t="str">
        <f>IF(AK8&gt;2,"Match 3","")</f>
        <v>Match 3</v>
      </c>
      <c r="I22" s="155"/>
      <c r="J22" s="156"/>
      <c r="K22" s="154" t="str">
        <f>IF(AK8&gt;3,"Match 4","")</f>
        <v>Match 4</v>
      </c>
      <c r="L22" s="155"/>
      <c r="M22" s="156"/>
      <c r="N22" s="154" t="str">
        <f>IF(AK8&gt;4,"Match 5","")</f>
        <v>Match 5</v>
      </c>
      <c r="O22" s="155"/>
      <c r="P22" s="156"/>
      <c r="Q22" s="154" t="str">
        <f>IF(AK8&gt;5,"Match 6","")</f>
        <v>Match 6</v>
      </c>
      <c r="R22" s="155"/>
      <c r="S22" s="156"/>
      <c r="T22" s="154" t="str">
        <f>IF(AK8&gt;6,"Match 7","")</f>
        <v/>
      </c>
      <c r="U22" s="155"/>
      <c r="V22" s="156"/>
      <c r="W22" s="154" t="str">
        <f>IF(AK8&gt;7,"Match 8","")</f>
        <v/>
      </c>
      <c r="X22" s="155"/>
      <c r="Y22" s="156"/>
      <c r="Z22" s="154" t="str">
        <f>IF(AK8&gt;8,"Match 9","")</f>
        <v/>
      </c>
      <c r="AA22" s="155"/>
      <c r="AB22" s="156"/>
      <c r="AC22" s="154" t="str">
        <f>IF(AK8&gt;9,"Match 10","")</f>
        <v/>
      </c>
      <c r="AD22" s="155"/>
      <c r="AE22" s="156"/>
      <c r="AF22" s="168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70"/>
      <c r="AT22" s="79"/>
      <c r="AU22" s="80"/>
      <c r="AV22" s="81"/>
    </row>
    <row r="23" spans="1:48" ht="15.75" customHeight="1" x14ac:dyDescent="0.3">
      <c r="A23" s="6"/>
      <c r="B23" s="147" t="s">
        <v>53</v>
      </c>
      <c r="C23" s="148"/>
      <c r="D23" s="149"/>
      <c r="E23" s="147" t="s">
        <v>52</v>
      </c>
      <c r="F23" s="148"/>
      <c r="G23" s="149"/>
      <c r="H23" s="147" t="s">
        <v>54</v>
      </c>
      <c r="I23" s="148"/>
      <c r="J23" s="149"/>
      <c r="K23" s="147" t="s">
        <v>55</v>
      </c>
      <c r="L23" s="148"/>
      <c r="M23" s="149"/>
      <c r="N23" s="147" t="s">
        <v>52</v>
      </c>
      <c r="O23" s="148"/>
      <c r="P23" s="149"/>
      <c r="Q23" s="147" t="s">
        <v>54</v>
      </c>
      <c r="R23" s="148"/>
      <c r="S23" s="149"/>
      <c r="T23" s="147"/>
      <c r="U23" s="148"/>
      <c r="V23" s="149"/>
      <c r="W23" s="147"/>
      <c r="X23" s="148"/>
      <c r="Y23" s="149"/>
      <c r="Z23" s="147"/>
      <c r="AA23" s="148"/>
      <c r="AB23" s="149"/>
      <c r="AC23" s="147"/>
      <c r="AD23" s="148"/>
      <c r="AE23" s="149"/>
      <c r="AF23" s="36" t="s">
        <v>56</v>
      </c>
      <c r="AG23" s="37">
        <v>1</v>
      </c>
      <c r="AH23" s="37">
        <v>2</v>
      </c>
      <c r="AI23" s="37">
        <v>3</v>
      </c>
      <c r="AJ23" s="37">
        <v>4</v>
      </c>
      <c r="AK23" s="37">
        <v>5</v>
      </c>
      <c r="AL23" s="37">
        <v>6</v>
      </c>
      <c r="AM23" s="37">
        <v>7</v>
      </c>
      <c r="AN23" s="37">
        <v>8</v>
      </c>
      <c r="AO23" s="37">
        <v>9</v>
      </c>
      <c r="AP23" s="37">
        <v>10</v>
      </c>
      <c r="AQ23" s="38" t="s">
        <v>57</v>
      </c>
      <c r="AT23" s="249" t="s">
        <v>122</v>
      </c>
      <c r="AU23" s="250"/>
      <c r="AV23" s="251"/>
    </row>
    <row r="24" spans="1:48" ht="16.2" thickBot="1" x14ac:dyDescent="0.35">
      <c r="A24" s="6"/>
      <c r="B24" s="39">
        <v>2</v>
      </c>
      <c r="C24" s="40" t="s">
        <v>58</v>
      </c>
      <c r="D24" s="41">
        <v>3</v>
      </c>
      <c r="E24" s="39">
        <v>1</v>
      </c>
      <c r="F24" s="40" t="str">
        <f>IF(AK8&gt;1,"v","")</f>
        <v>v</v>
      </c>
      <c r="G24" s="41">
        <v>4</v>
      </c>
      <c r="H24" s="39">
        <v>2</v>
      </c>
      <c r="I24" s="40" t="str">
        <f>IF(AK8&gt;2,"v","")</f>
        <v>v</v>
      </c>
      <c r="J24" s="41">
        <v>4</v>
      </c>
      <c r="K24" s="39">
        <v>1</v>
      </c>
      <c r="L24" s="40" t="str">
        <f>IF(AK8&gt;3,"v","")</f>
        <v>v</v>
      </c>
      <c r="M24" s="41">
        <v>3</v>
      </c>
      <c r="N24" s="39">
        <v>3</v>
      </c>
      <c r="O24" s="40" t="str">
        <f>IF(AK8&gt;4,"v","")</f>
        <v>v</v>
      </c>
      <c r="P24" s="41">
        <v>4</v>
      </c>
      <c r="Q24" s="39">
        <v>1</v>
      </c>
      <c r="R24" s="40" t="str">
        <f>IF(AK8&gt;5,"v","")</f>
        <v>v</v>
      </c>
      <c r="S24" s="41">
        <v>2</v>
      </c>
      <c r="T24" s="39"/>
      <c r="U24" s="40" t="str">
        <f>IF(AK8&gt;6,"v","")</f>
        <v/>
      </c>
      <c r="V24" s="41"/>
      <c r="W24" s="39"/>
      <c r="X24" s="40" t="str">
        <f>IF(AK8&gt;7,"v","")</f>
        <v/>
      </c>
      <c r="Y24" s="41"/>
      <c r="Z24" s="39"/>
      <c r="AA24" s="40" t="str">
        <f>IF(AK8&gt;8,"v","")</f>
        <v/>
      </c>
      <c r="AB24" s="41"/>
      <c r="AC24" s="39"/>
      <c r="AD24" s="40" t="str">
        <f>IF(AK8&gt;9,"v","")</f>
        <v/>
      </c>
      <c r="AE24" s="41"/>
      <c r="AF24" s="36" t="str">
        <f>IF(AK9&gt;0,"Team 1","")</f>
        <v>Team 1</v>
      </c>
      <c r="AG24" s="42" t="str">
        <f>IF(AK9&lt;1,"",IF(AK8&lt;1,"",IF(B24=1,B30-D30,IF(D24=1,D30-B30,""))))</f>
        <v/>
      </c>
      <c r="AH24" s="42">
        <f>IF(AK9&lt;1,"",IF(AK8&lt;2,"",IF(E24=1,E30-G30,IF(G24=1,G30-E30,""))))</f>
        <v>-17</v>
      </c>
      <c r="AI24" s="42" t="str">
        <f>IF(AK9&lt;1,"",IF(AK8&lt;3,"",IF(H24=1,H30-J30,IF(J24=1,J30-H30,""))))</f>
        <v/>
      </c>
      <c r="AJ24" s="42">
        <f>IF(AK9&lt;1,"",IF(AK8&lt;4,"",IF(K24=1,K30-M30,IF(M24=1,M30-K30,""))))</f>
        <v>23</v>
      </c>
      <c r="AK24" s="42" t="str">
        <f>IF(AK9&lt;1,"",IF(AK8&lt;5,"",IF(N24=1,N30-P30,IF(P24=1,P30-N30,""))))</f>
        <v/>
      </c>
      <c r="AL24" s="42">
        <f>IF(AK9&lt;1,"",IF(AK8&lt;6,"",IF(Q24=1,Q30-S30,IF(S24=1,S30-Q30,""))))</f>
        <v>-8</v>
      </c>
      <c r="AM24" s="42" t="str">
        <f>IF(AK9&lt;1,"",IF(AK8&lt;7,"",IF(T24=1,T30-V30,IF(V24=1,V30-T30,""))))</f>
        <v/>
      </c>
      <c r="AN24" s="42" t="str">
        <f>IF(AK9&lt;1,"",IF(AK8&lt;8,"",IF(W24=1,W30-Y30,IF(Y24=1,Y30-W30,""))))</f>
        <v/>
      </c>
      <c r="AO24" s="42" t="str">
        <f>IF(AK9&lt;1,"",IF(AK8&lt;9,"",IF(Z24=1,Z30-AB30,IF(AB24=1,AB30-Z30,""))))</f>
        <v/>
      </c>
      <c r="AP24" s="42" t="str">
        <f>IF(AK9&lt;1,"",IF(AK8&lt;10,"",IF(AC24=1,AC30-AE30,IF(AE24=1,AE30-AC30,""))))</f>
        <v/>
      </c>
      <c r="AQ24" s="38">
        <f>SUM(AG24:AP24)</f>
        <v>-2</v>
      </c>
      <c r="AT24" s="252"/>
      <c r="AU24" s="253"/>
      <c r="AV24" s="254"/>
    </row>
    <row r="25" spans="1:48" ht="15" x14ac:dyDescent="0.25">
      <c r="A25" s="4" t="s">
        <v>59</v>
      </c>
      <c r="B25" s="43">
        <v>24</v>
      </c>
      <c r="C25" s="44" t="s">
        <v>60</v>
      </c>
      <c r="D25" s="45">
        <v>20</v>
      </c>
      <c r="E25" s="43">
        <v>14</v>
      </c>
      <c r="F25" s="44" t="str">
        <f>IF(AK8&gt;1,"/","")</f>
        <v>/</v>
      </c>
      <c r="G25" s="45">
        <v>31</v>
      </c>
      <c r="H25" s="43">
        <v>26</v>
      </c>
      <c r="I25" s="44" t="str">
        <f>IF(AK8&gt;2,"/","")</f>
        <v>/</v>
      </c>
      <c r="J25" s="45">
        <v>16</v>
      </c>
      <c r="K25" s="43">
        <v>31</v>
      </c>
      <c r="L25" s="44" t="str">
        <f>IF(AK8&gt;3,"/","")</f>
        <v>/</v>
      </c>
      <c r="M25" s="45">
        <v>8</v>
      </c>
      <c r="N25" s="43">
        <v>13</v>
      </c>
      <c r="O25" s="44" t="str">
        <f>IF(AK8&gt;4,"/","")</f>
        <v>/</v>
      </c>
      <c r="P25" s="45">
        <v>31</v>
      </c>
      <c r="Q25" s="43">
        <v>15</v>
      </c>
      <c r="R25" s="44" t="str">
        <f>IF(AK8&gt;5,"/","")</f>
        <v>/</v>
      </c>
      <c r="S25" s="45">
        <v>23</v>
      </c>
      <c r="T25" s="43"/>
      <c r="U25" s="44" t="str">
        <f>IF(AK8&gt;6,"/","")</f>
        <v/>
      </c>
      <c r="V25" s="45"/>
      <c r="W25" s="43"/>
      <c r="X25" s="44" t="str">
        <f>IF(AK8&gt;7,"/","")</f>
        <v/>
      </c>
      <c r="Y25" s="45"/>
      <c r="Z25" s="43"/>
      <c r="AA25" s="44" t="str">
        <f>IF(AK8&gt;8,"/","")</f>
        <v/>
      </c>
      <c r="AB25" s="45"/>
      <c r="AC25" s="43"/>
      <c r="AD25" s="44" t="str">
        <f>IF(AK8&gt;9,"/","")</f>
        <v/>
      </c>
      <c r="AE25" s="45"/>
      <c r="AF25" s="36" t="str">
        <f>IF(AK9&gt;1,"Team 2","")</f>
        <v>Team 2</v>
      </c>
      <c r="AG25" s="42">
        <f>IF(AK9&lt;2,"",IF(AK8&lt;1,"",IF(B24=2,B30-D30,IF(D24=2,D30-B30,""))))</f>
        <v>4</v>
      </c>
      <c r="AH25" s="42" t="str">
        <f>IF(AK9&lt;2,"",IF(AK8&lt;2,"",IF(E24=2,E30-G30,IF(G24=2,G30-E30,""))))</f>
        <v/>
      </c>
      <c r="AI25" s="42">
        <f>IF(AK9&lt;2,"",IF(AK8&lt;3,"",IF(H24=2,H30-J30,IF(J24=2,J30-H30,""))))</f>
        <v>10</v>
      </c>
      <c r="AJ25" s="42" t="str">
        <f>IF(AK9&lt;2,"",IF(AK8&lt;4,"",IF(K24=2,K30-M30,IF(M24=2,M30-K30,""))))</f>
        <v/>
      </c>
      <c r="AK25" s="42" t="str">
        <f>IF(AK9&lt;2,"",IF(AK8&lt;5,"",IF(N24=2,N30-P30,IF(P24=2,P30-N30,""))))</f>
        <v/>
      </c>
      <c r="AL25" s="42">
        <f>IF(AK9&lt;2,"",IF(AK8&lt;6,"",IF(Q24=2,Q30-S30,IF(S24=2,S30-Q30,""))))</f>
        <v>8</v>
      </c>
      <c r="AM25" s="42" t="str">
        <f>IF(AK9&lt;2,"",IF(AK8&lt;7,"",IF(T24=2,T30-V30,IF(V24=2,V30-T30,""))))</f>
        <v/>
      </c>
      <c r="AN25" s="42" t="str">
        <f>IF(AK9&lt;2,"",IF(AK8&lt;8,"",IF(W24=2,W30-Y30,IF(Y24=2,Y30-W30,""))))</f>
        <v/>
      </c>
      <c r="AO25" s="42" t="str">
        <f>IF(AK9&lt;2,"",IF(AK8&lt;9,"",IF(Z24=2,Z30-AB30,IF(AB24=2,AB30-Z30,""))))</f>
        <v/>
      </c>
      <c r="AP25" s="42" t="str">
        <f>IF(AK9&lt;2,"",IF(AK8&lt;10,"",IF(AC24=2,AC30-AE30,IF(AE24=2,AE30-AC30,""))))</f>
        <v/>
      </c>
      <c r="AQ25" s="38">
        <f>SUM(AG25:AP25)</f>
        <v>22</v>
      </c>
    </row>
    <row r="26" spans="1:48" ht="15" x14ac:dyDescent="0.25">
      <c r="A26" s="3" t="str">
        <f>IF(AK7&gt;1,"Game 2","")</f>
        <v/>
      </c>
      <c r="B26" s="43">
        <v>21</v>
      </c>
      <c r="C26" s="44" t="s">
        <v>60</v>
      </c>
      <c r="D26" s="45">
        <v>24</v>
      </c>
      <c r="E26" s="43"/>
      <c r="F26" s="44" t="str">
        <f>IF(AK8&gt;1,IF(AK7&gt;1,"/",""),"")</f>
        <v/>
      </c>
      <c r="G26" s="45"/>
      <c r="H26" s="43">
        <v>18</v>
      </c>
      <c r="I26" s="44" t="str">
        <f>IF(AK8&gt;2,IF(AK7&gt;1,"/",""),"")</f>
        <v/>
      </c>
      <c r="J26" s="45">
        <v>26</v>
      </c>
      <c r="K26" s="43"/>
      <c r="L26" s="44" t="str">
        <f>IF(AK8&gt;3,IF(AK7&gt;1,"/",""),"")</f>
        <v/>
      </c>
      <c r="M26" s="45"/>
      <c r="N26" s="43"/>
      <c r="O26" s="44" t="str">
        <f>IF(AK8&gt;4,IF(AK7&gt;1,"/",""),"")</f>
        <v/>
      </c>
      <c r="P26" s="45"/>
      <c r="Q26" s="43"/>
      <c r="R26" s="44" t="str">
        <f>IF(AK8&gt;5,IF(AK7&gt;1,"/",""),"")</f>
        <v/>
      </c>
      <c r="S26" s="45"/>
      <c r="T26" s="43"/>
      <c r="U26" s="44" t="str">
        <f>IF(AK8&gt;6,IF(AK7&gt;1,"/",""),"")</f>
        <v/>
      </c>
      <c r="V26" s="45"/>
      <c r="W26" s="43"/>
      <c r="X26" s="44" t="str">
        <f>IF(AK8&gt;7,IF(AK7&gt;1,"/",""),"")</f>
        <v/>
      </c>
      <c r="Y26" s="45"/>
      <c r="Z26" s="43"/>
      <c r="AA26" s="44" t="str">
        <f>IF(AK8&gt;8,IF(AK7&gt;1,"/",""),"")</f>
        <v/>
      </c>
      <c r="AB26" s="45"/>
      <c r="AC26" s="43"/>
      <c r="AD26" s="44" t="str">
        <f>IF(AK8&gt;9,IF(AK7&gt;1,"/",""),"")</f>
        <v/>
      </c>
      <c r="AE26" s="45"/>
      <c r="AF26" s="36" t="str">
        <f>IF(AK9&gt;2,"Team 3","")</f>
        <v>Team 3</v>
      </c>
      <c r="AG26" s="42">
        <f>IF(AK9&lt;3,"",IF(AK8&lt;1,"",IF(B24=3,B30-D30,IF(D24=3,D30-B30,""))))</f>
        <v>-4</v>
      </c>
      <c r="AH26" s="42" t="str">
        <f>IF(AK9&lt;3,"",IF(AK8&lt;2,"",IF(E24=3,E30-G30,IF(G24=3,G30-E30,""))))</f>
        <v/>
      </c>
      <c r="AI26" s="42" t="str">
        <f>IF(AK9&lt;3,"",IF(AK8&lt;3,"",IF(H24=3,H30-J30,IF(J24=3,J30-H30,""))))</f>
        <v/>
      </c>
      <c r="AJ26" s="42">
        <f>IF(AK9&lt;3,"",IF(AK8&lt;4,"",IF(K24=3,K30-M30,IF(M24=3,M30-K30,""))))</f>
        <v>-23</v>
      </c>
      <c r="AK26" s="42">
        <f>IF(AK9&lt;3,"",IF(AK8&lt;5,"",IF(N24=3,N30-P30,IF(P24=3,P30-N30,""))))</f>
        <v>-18</v>
      </c>
      <c r="AL26" s="42" t="str">
        <f>IF(AK9&lt;3,"",IF(AK8&lt;6,"",IF(Q24=3,Q30-S30,IF(S24=3,S30-Q30,""))))</f>
        <v/>
      </c>
      <c r="AM26" s="42" t="str">
        <f>IF(AK9&lt;3,"",IF(AK8&lt;7,"",IF(T24=3,T30-V30,IF(V24=3,V30-T30,""))))</f>
        <v/>
      </c>
      <c r="AN26" s="42" t="str">
        <f>IF(AK9&lt;3,"",IF(AK8&lt;8,"",IF(W24=3,W30-Y30,IF(Y24=3,Y30-W30,""))))</f>
        <v/>
      </c>
      <c r="AO26" s="42" t="str">
        <f>IF(AK9&lt;3,"",IF(AK8&lt;9,"",IF(Z24=3,Z30-AB30,IF(AB24=3,AB30-Z30,""))))</f>
        <v/>
      </c>
      <c r="AP26" s="42" t="str">
        <f>IF(AK9&lt;3,"",IF(AK8&lt;9,"",IF(AC24=3,AC30-AE30,IF(AE24=3,AE30-AC30,""))))</f>
        <v/>
      </c>
      <c r="AQ26" s="38">
        <f>SUM(AG26:AP26)</f>
        <v>-45</v>
      </c>
      <c r="AT26" s="75"/>
      <c r="AU26" s="75"/>
      <c r="AV26" s="75"/>
    </row>
    <row r="27" spans="1:48" ht="15" x14ac:dyDescent="0.25">
      <c r="A27" s="3" t="str">
        <f>IF(AK7&gt;2,"Game 3","")</f>
        <v/>
      </c>
      <c r="B27" s="43"/>
      <c r="C27" s="44" t="s">
        <v>60</v>
      </c>
      <c r="D27" s="45"/>
      <c r="E27" s="43"/>
      <c r="F27" s="44" t="str">
        <f>IF(AK8&gt;1,IF(AK7&gt;2,"/",""),"")</f>
        <v/>
      </c>
      <c r="G27" s="45"/>
      <c r="H27" s="43"/>
      <c r="I27" s="44" t="str">
        <f>IF(AK8&gt;2,IF(AK7&gt;2,"/",""),"")</f>
        <v/>
      </c>
      <c r="J27" s="45"/>
      <c r="K27" s="43"/>
      <c r="L27" s="44" t="str">
        <f>IF(AK8&gt;3,IF(AK7&gt;2,"/",""),"")</f>
        <v/>
      </c>
      <c r="M27" s="45"/>
      <c r="N27" s="43"/>
      <c r="O27" s="44" t="str">
        <f>IF(AK8&gt;4,IF(AK7&gt;2,"/",""),"")</f>
        <v/>
      </c>
      <c r="P27" s="45"/>
      <c r="Q27" s="43"/>
      <c r="R27" s="44" t="str">
        <f>IF(AK8&gt;5,IF(AK7&gt;2,"/",""),"")</f>
        <v/>
      </c>
      <c r="S27" s="45"/>
      <c r="T27" s="43"/>
      <c r="U27" s="44" t="str">
        <f>IF(AK8&gt;6,IF(AK7&gt;2,"/",""),"")</f>
        <v/>
      </c>
      <c r="V27" s="45"/>
      <c r="W27" s="43"/>
      <c r="X27" s="44" t="str">
        <f>IF(AK8&gt;7,IF(AK7&gt;2,"/",""),"")</f>
        <v/>
      </c>
      <c r="Y27" s="45"/>
      <c r="Z27" s="43"/>
      <c r="AA27" s="44" t="str">
        <f>IF(AK8&gt;8,IF(AK7&gt;2,"/",""),"")</f>
        <v/>
      </c>
      <c r="AB27" s="45"/>
      <c r="AC27" s="43"/>
      <c r="AD27" s="44" t="str">
        <f>IF(AK8&gt;9,IF(AK7&gt;2,"/",""),"")</f>
        <v/>
      </c>
      <c r="AE27" s="45"/>
      <c r="AF27" s="36" t="str">
        <f>IF(AK9&gt;3,"Team 4","")</f>
        <v>Team 4</v>
      </c>
      <c r="AG27" s="42" t="str">
        <f>IF(AK9&lt;4,"",IF(AK8&lt;1,"",IF(B24=4,B30-D30,IF(D24=4,D30-B30,""))))</f>
        <v/>
      </c>
      <c r="AH27" s="42">
        <f>IF(AK9&lt;4,"",IF(AK8&lt;2,"",IF(E24=4,E30-G30,IF(G24=4,G30-E30,""))))</f>
        <v>17</v>
      </c>
      <c r="AI27" s="42">
        <f>IF(AK9&lt;4,"",IF(AK8&lt;3,"",IF(H24=4,H30-J30,IF(J24=4,J30-H30,""))))</f>
        <v>-10</v>
      </c>
      <c r="AJ27" s="42" t="str">
        <f>IF(AK9&lt;4,"",IF(AK8&lt;4,"",IF(K24=4,K30-M30,IF(M24=4,M30-K30,""))))</f>
        <v/>
      </c>
      <c r="AK27" s="42">
        <f>IF(AK9&lt;4,"",IF(AK8&lt;5,"",IF(N24=4,N30-P30,IF(P24=4,P30-N30,""))))</f>
        <v>18</v>
      </c>
      <c r="AL27" s="42" t="str">
        <f>IF(AK9&lt;4,"",IF(AK8&lt;6,"",IF(Q24=4,Q30-S30,IF(S24=4,S30-Q30,""))))</f>
        <v/>
      </c>
      <c r="AM27" s="42" t="str">
        <f>IF(AK9&lt;4,"",IF(AK8&lt;7,"",IF(T24=4,T30-V30,IF(V24=4,V30-T30,""))))</f>
        <v/>
      </c>
      <c r="AN27" s="42" t="str">
        <f>IF(AK9&lt;4,"",IF(AK8&lt;8,"",IF(W24=4,W30-Y30,IF(Y24=4,Y30-W30,""))))</f>
        <v/>
      </c>
      <c r="AO27" s="42" t="str">
        <f>IF(AK9&lt;4,"",IF(AK8&lt;9,"",IF(Z24=4,Z30-AB30,IF(AB24=4,AB30-Z30,""))))</f>
        <v/>
      </c>
      <c r="AP27" s="42" t="str">
        <f>IF(AK9&lt;4,"",IF(AK8&lt;10,"",IF(AC24=4,AC30-AE30,IF(AE24=4,AE30-AC30,""))))</f>
        <v/>
      </c>
      <c r="AQ27" s="38">
        <f>SUM(AG27:AP27)</f>
        <v>25</v>
      </c>
      <c r="AT27" s="75"/>
      <c r="AU27" s="75"/>
      <c r="AV27" s="75"/>
    </row>
    <row r="28" spans="1:48" ht="15" x14ac:dyDescent="0.25">
      <c r="A28" s="3" t="str">
        <f>IF(AK7&gt;3,"Game 4","")</f>
        <v/>
      </c>
      <c r="B28" s="43"/>
      <c r="C28" s="44" t="s">
        <v>60</v>
      </c>
      <c r="D28" s="45"/>
      <c r="E28" s="43"/>
      <c r="F28" s="44" t="str">
        <f>IF(AK8&gt;1,IF(AK7&gt;3,"/",""),"")</f>
        <v/>
      </c>
      <c r="G28" s="45"/>
      <c r="H28" s="43"/>
      <c r="I28" s="44" t="str">
        <f>IF(AK8&gt;2,IF(AK7&gt;3,"/",""),"")</f>
        <v/>
      </c>
      <c r="J28" s="45"/>
      <c r="K28" s="43"/>
      <c r="L28" s="44" t="str">
        <f>IF(AK8&gt;3,IF(AK7&gt;3,"/",""),"")</f>
        <v/>
      </c>
      <c r="M28" s="45"/>
      <c r="N28" s="43"/>
      <c r="O28" s="44" t="str">
        <f>IF(AK8&gt;4,IF(AK7&gt;3,"/",""),"")</f>
        <v/>
      </c>
      <c r="P28" s="45"/>
      <c r="Q28" s="43"/>
      <c r="R28" s="44" t="str">
        <f>IF(AK8&gt;5,IF(AK7&gt;3,"/",""),"")</f>
        <v/>
      </c>
      <c r="S28" s="45"/>
      <c r="T28" s="43"/>
      <c r="U28" s="44" t="str">
        <f>IF(AK8&gt;6,IF(AK7&gt;3,"/",""),"")</f>
        <v/>
      </c>
      <c r="V28" s="45"/>
      <c r="W28" s="43"/>
      <c r="X28" s="44" t="str">
        <f>IF(AK8&gt;7,IF(AK7&gt;3,"/",""),"")</f>
        <v/>
      </c>
      <c r="Y28" s="45"/>
      <c r="Z28" s="43"/>
      <c r="AA28" s="44" t="str">
        <f>IF(AK8&gt;8,IF(AK7&gt;3,"/",""),"")</f>
        <v/>
      </c>
      <c r="AB28" s="45"/>
      <c r="AC28" s="43"/>
      <c r="AD28" s="44" t="str">
        <f>IF(AK8&gt;9,IF(AK7&gt;3,"/",""),"")</f>
        <v/>
      </c>
      <c r="AE28" s="45"/>
      <c r="AF28" s="36" t="str">
        <f>IF(AK9&gt;4,"Team 5","")</f>
        <v/>
      </c>
      <c r="AG28" s="46" t="str">
        <f>IF(AK9&lt;5,"",IF(AK8&lt;1,"",IF(B24=5,B30-D30,IF(D24=5,D30-B30,""))))</f>
        <v/>
      </c>
      <c r="AH28" s="42" t="str">
        <f>IF(AK9&lt;5,"",IF(AK8&lt;2,"",IF(E24=5,E30-G30,IF(G24=5,G30-E30,""))))</f>
        <v/>
      </c>
      <c r="AI28" s="42" t="str">
        <f>IF(AK9&lt;5,"",IF(AK8&lt;3,"",IF(H24=5,H30-J30,IF(J24=5,J30-H30,""))))</f>
        <v/>
      </c>
      <c r="AJ28" s="42" t="str">
        <f>IF(AK9&lt;5,"",IF(AK8&lt;4,"",IF(K24=5,K30-M30,IF(M24=5,M30-K30,""))))</f>
        <v/>
      </c>
      <c r="AK28" s="42" t="str">
        <f>IF(AK9&lt;5,"",IF(AK8&lt;5,"",IF(N24=5,N30-P30,IF(P24=5,P30-N30,""))))</f>
        <v/>
      </c>
      <c r="AL28" s="42" t="str">
        <f>IF(AK9&lt;5,"",IF(AK8&lt;6,"",IF(Q24=5,Q30-S30,IF(S24=5,S30-Q30,""))))</f>
        <v/>
      </c>
      <c r="AM28" s="42" t="str">
        <f>IF(AK9&lt;5,"",IF(AK8&lt;7,"",IF(T24=5,T30-V30,IF(V24=5,V30-T30,""))))</f>
        <v/>
      </c>
      <c r="AN28" s="42" t="str">
        <f>IF(AK9&lt;5,"",IF(AK8&lt;8,"",IF(W24=5,W30-Y30,IF(Y24=5,Y30-W30,""))))</f>
        <v/>
      </c>
      <c r="AO28" s="42" t="str">
        <f>IF(AK9&lt;5,"",IF(AK8&lt;9,"",IF(Z24=5,Z30-AB30,IF(AB24=5,AB30-Z30,""))))</f>
        <v/>
      </c>
      <c r="AP28" s="42" t="str">
        <f>IF(AK9&lt;5,"",IF(AK8&lt;10,"",IF(AC24=5,AC30-AE30,IF(AE24=5,AE30-AC30,""))))</f>
        <v/>
      </c>
      <c r="AQ28" s="38">
        <f>SUM(AG28:AP28)</f>
        <v>0</v>
      </c>
      <c r="AT28" s="75"/>
      <c r="AU28" s="75"/>
      <c r="AV28" s="75"/>
    </row>
    <row r="29" spans="1:48" ht="15" x14ac:dyDescent="0.25">
      <c r="A29" s="3" t="str">
        <f>IF(AK7&gt;4,"Game 5","")</f>
        <v/>
      </c>
      <c r="B29" s="43"/>
      <c r="C29" s="44" t="s">
        <v>60</v>
      </c>
      <c r="D29" s="45"/>
      <c r="E29" s="43"/>
      <c r="F29" s="44" t="str">
        <f>IF(AK8&gt;1,IF(AK7&gt;4,"/",""),"")</f>
        <v/>
      </c>
      <c r="G29" s="45"/>
      <c r="H29" s="43"/>
      <c r="I29" s="44" t="str">
        <f>IF(AK8&gt;2,IF(AK7&gt;4,"/",""),"")</f>
        <v/>
      </c>
      <c r="J29" s="45"/>
      <c r="K29" s="43"/>
      <c r="L29" s="44" t="str">
        <f>IF(AK8&gt;3,IF(AK7&gt;4,"/",""),"")</f>
        <v/>
      </c>
      <c r="M29" s="45"/>
      <c r="N29" s="43"/>
      <c r="O29" s="44" t="str">
        <f>IF(AK8&gt;4,IF(AK7&gt;4,"/",""),"")</f>
        <v/>
      </c>
      <c r="P29" s="45"/>
      <c r="Q29" s="43"/>
      <c r="R29" s="44" t="str">
        <f>IF(AK8&gt;5,IF(AK7&gt;4,"/",""),"")</f>
        <v/>
      </c>
      <c r="S29" s="45"/>
      <c r="T29" s="43"/>
      <c r="U29" s="44" t="str">
        <f>IF(AK8&gt;6,IF(AK7&gt;4,"/",""),"")</f>
        <v/>
      </c>
      <c r="V29" s="45"/>
      <c r="W29" s="43"/>
      <c r="X29" s="44" t="str">
        <f>IF(AK8&gt;7,IF(AK7&gt;4,"/",""),"")</f>
        <v/>
      </c>
      <c r="Y29" s="45"/>
      <c r="Z29" s="43"/>
      <c r="AA29" s="44" t="str">
        <f>IF(AK8&gt;8,IF(AK7&gt;4,"/",""),"")</f>
        <v/>
      </c>
      <c r="AB29" s="45"/>
      <c r="AC29" s="43"/>
      <c r="AD29" s="44" t="str">
        <f>IF(AK8&gt;9,IF(AK7&gt;4,"/",""),"")</f>
        <v/>
      </c>
      <c r="AE29" s="45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T29" s="75"/>
      <c r="AU29" s="75"/>
      <c r="AV29" s="75"/>
    </row>
    <row r="30" spans="1:48" hidden="1" x14ac:dyDescent="0.25">
      <c r="A30" s="47"/>
      <c r="B30" s="47">
        <f>IF($AK7=5,SUM(B25:B29),IF($AK7=4,SUM(B25:B28),IF($AK7=3,SUM(B25:B27),IF($AK7=2,SUM(B25:B26),B25))))</f>
        <v>24</v>
      </c>
      <c r="C30" s="47"/>
      <c r="D30" s="47">
        <f>IF($AK7=5,SUM(D25:D29),IF($AK7=4,SUM(D25:D28),IF($AK7=3,SUM(D25:D27),IF($AK7=2,SUM(D25:D26),D25))))</f>
        <v>20</v>
      </c>
      <c r="E30" s="47">
        <f>IF($AK7=5,SUM(E25:E29),IF($AK7=4,SUM(E25:E28),IF($AK7=3,SUM(E25:E27),IF($AK7=2,SUM(E25:E26),E25))))</f>
        <v>14</v>
      </c>
      <c r="F30" s="47"/>
      <c r="G30" s="47">
        <f>IF($AK7=5,SUM(G25:G29),IF($AK7=4,SUM(G25:G28),IF($AK7=3,SUM(G25:G27),IF($AK7=2,SUM(G25:G26),G25))))</f>
        <v>31</v>
      </c>
      <c r="H30" s="47">
        <f>IF($AK7=5,SUM(H25:H29),IF($AK7=4,SUM(H25:H28),IF($AK7=3,SUM(H25:H27),IF($AK7=2,SUM(H25:H26),H25))))</f>
        <v>26</v>
      </c>
      <c r="I30" s="47"/>
      <c r="J30" s="47">
        <f>IF($AK7=5,SUM(J25:J29),IF($AK7=4,SUM(J25:J28),IF($AK7=3,SUM(J25:J27),IF($AK7=2,SUM(J25:J26),J25))))</f>
        <v>16</v>
      </c>
      <c r="K30" s="47">
        <f>IF($AK7=5,SUM(K25:K29),IF($AK7=4,SUM(K25:K28),IF($AK7=3,SUM(K25:K27),IF($AK7=2,SUM(K25:K26),K25))))</f>
        <v>31</v>
      </c>
      <c r="L30" s="47"/>
      <c r="M30" s="47">
        <f>IF($AK7=5,SUM(M25:M29),IF($AK7=4,SUM(M25:M28),IF($AK7=3,SUM(M25:M27),IF($AK7=2,SUM(M25:M26),M25))))</f>
        <v>8</v>
      </c>
      <c r="N30" s="47">
        <f>IF($AK7=5,SUM(N25:N29),IF($AK7=4,SUM(N25:N28),IF($AK7=3,SUM(N25:N27),IF($AK7=2,SUM(N25:N26),N25))))</f>
        <v>13</v>
      </c>
      <c r="O30" s="47"/>
      <c r="P30" s="47">
        <f>IF($AK7=5,SUM(P25:P29),IF($AK7=4,SUM(P25:P28),IF($AK7=3,SUM(P25:P27),IF($AK7=2,SUM(P25:P26),P25))))</f>
        <v>31</v>
      </c>
      <c r="Q30" s="47">
        <f>IF($AK7=5,SUM(Q25:Q29),IF($AK7=4,SUM(Q25:Q28),IF($AK7=3,SUM(Q25:Q27),IF($AK7=2,SUM(Q25:Q26),Q25))))</f>
        <v>15</v>
      </c>
      <c r="R30" s="47"/>
      <c r="S30" s="47">
        <f>IF($AK7=5,SUM(S25:S29),IF($AK7=4,SUM(S25:S28),IF($AK7=3,SUM(S25:S27),IF($AK7=2,SUM(S25:S26),S25))))</f>
        <v>23</v>
      </c>
      <c r="T30" s="47">
        <f>IF($AK7=5,SUM(T25:T29),IF($AK7=4,SUM(T25:T28),IF($AK7=3,SUM(T25:T27),IF($AK7=2,SUM(T25:T26),T25))))</f>
        <v>0</v>
      </c>
      <c r="U30" s="47"/>
      <c r="V30" s="47">
        <f>IF($AK7=5,SUM(V25:V29),IF($AK7=4,SUM(V25:V28),IF($AK7=3,SUM(V25:V27),IF($AK7=2,SUM(V25:V26),V25))))</f>
        <v>0</v>
      </c>
      <c r="W30" s="47">
        <f>IF($AK7=5,SUM(W25:W29),IF($AK7=4,SUM(W25:W28),IF($AK7=3,SUM(W25:W27),IF($AK7=2,SUM(W25:W26),W25))))</f>
        <v>0</v>
      </c>
      <c r="X30" s="47"/>
      <c r="Y30" s="47">
        <f>IF($AK7=5,SUM(Y25:Y29),IF($AK7=4,SUM(Y25:Y28),IF($AK7=3,SUM(Y25:Y27),IF($AK7=2,SUM(Y25:Y26),Y25))))</f>
        <v>0</v>
      </c>
      <c r="Z30" s="47">
        <f>IF($AK7=5,SUM(Z25:Z29),IF($AK7=4,SUM(Z25:Z28),IF($AK7=3,SUM(Z25:Z27),IF($AK7=2,SUM(Z25:Z26),Z25))))</f>
        <v>0</v>
      </c>
      <c r="AA30" s="47"/>
      <c r="AB30" s="47">
        <f>IF($AK7=5,SUM(AB25:AB29),IF($AK7=4,SUM(AB25:AB28),IF($AK7=3,SUM(AB25:AB27),IF($AK7=2,SUM(AB25:AB26),AB25))))</f>
        <v>0</v>
      </c>
      <c r="AC30" s="47">
        <f>IF($AK7=5,SUM(AC25:AC29),IF($AK7=4,SUM(AC25:AC28),IF($AK7=3,SUM(AC25:AC27),IF($AK7=2,SUM(AC25:AC26),AC25))))</f>
        <v>0</v>
      </c>
      <c r="AD30" s="47"/>
      <c r="AE30" s="47">
        <f>IF($AK7=5,SUM(AE25:AE29),IF($AK7=4,SUM(AE25:AE28),IF($AK7=3,SUM(AE25:AE27),IF($AK7=2,SUM(AE25:AE26),AE25))))</f>
        <v>0</v>
      </c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T30" s="82"/>
      <c r="AU30" s="82"/>
      <c r="AV30" s="82"/>
    </row>
    <row r="31" spans="1:48" s="48" customFormat="1" ht="12.75" hidden="1" customHeight="1" x14ac:dyDescent="0.25">
      <c r="A31" s="48" t="s">
        <v>61</v>
      </c>
      <c r="B31" s="49">
        <f>IF(AND(B25&gt;D25,$AK8&gt;0,ISNUMBER(B25),ISNUMBER(D25)),1,0)</f>
        <v>1</v>
      </c>
      <c r="C31" s="49"/>
      <c r="D31" s="50">
        <f>IF(AND(D25&gt;B25,$AK8&gt;0,ISNUMBER(B25),ISNUMBER(D25)),1,0)</f>
        <v>0</v>
      </c>
      <c r="E31" s="49">
        <f>IF(AND(E25&gt;G25,$AK8&gt;1,ISNUMBER(E25),ISNUMBER(G25)),1,0)</f>
        <v>0</v>
      </c>
      <c r="F31" s="49"/>
      <c r="G31" s="50">
        <f>IF(AND(G25&gt;E25,$AK8&gt;1,ISNUMBER(E25),ISNUMBER(G25)),1,0)</f>
        <v>1</v>
      </c>
      <c r="H31" s="49">
        <f>IF(AND(H25&gt;J25,$AK8&gt;2,ISNUMBER(H25),ISNUMBER(J25)),1,0)</f>
        <v>1</v>
      </c>
      <c r="I31" s="49"/>
      <c r="J31" s="50">
        <f>IF(AND(J25&gt;H25,$AK8&gt;2,ISNUMBER(H25),ISNUMBER(J25)),1,0)</f>
        <v>0</v>
      </c>
      <c r="K31" s="49">
        <f>IF(AND(K25&gt;M25,$AK8&gt;3,ISNUMBER(K25),ISNUMBER(M25)),1,0)</f>
        <v>1</v>
      </c>
      <c r="L31" s="49"/>
      <c r="M31" s="50">
        <f>IF(AND(M25&gt;K25,$AK8&gt;3,ISNUMBER(K25),ISNUMBER(M25)),1,0)</f>
        <v>0</v>
      </c>
      <c r="N31" s="49">
        <f>IF(AND(N25&gt;P25,$AK8&gt;4,ISNUMBER(N25),ISNUMBER(P25)),1,0)</f>
        <v>0</v>
      </c>
      <c r="O31" s="49"/>
      <c r="P31" s="50">
        <f>IF(AND(P25&gt;N25,$AK8&gt;4,ISNUMBER(N25),ISNUMBER(P25)),1,0)</f>
        <v>1</v>
      </c>
      <c r="Q31" s="49">
        <f>IF(AND(Q25&gt;S25,$AK8&gt;5,ISNUMBER(Q25),ISNUMBER(S25)),1,0)</f>
        <v>0</v>
      </c>
      <c r="R31" s="49"/>
      <c r="S31" s="50">
        <f>IF(AND(S25&gt;Q25,$AK8&gt;5,ISNUMBER(Q25),ISNUMBER(S25)),1,0)</f>
        <v>1</v>
      </c>
      <c r="T31" s="49">
        <f>IF(AND(T25&gt;V25,$AK8&gt;6,ISNUMBER(T25),ISNUMBER(V25)),1,0)</f>
        <v>0</v>
      </c>
      <c r="U31" s="49"/>
      <c r="V31" s="50">
        <f>IF(AND(V25&gt;T25,$AK8&gt;6,ISNUMBER(T25),ISNUMBER(V25)),1,0)</f>
        <v>0</v>
      </c>
      <c r="W31" s="49">
        <f>IF(AND(W25&gt;Y25,$AK8&gt;7,ISNUMBER(W25),ISNUMBER(Y25)),1,0)</f>
        <v>0</v>
      </c>
      <c r="X31" s="49"/>
      <c r="Y31" s="50">
        <f>IF(AND(Y25&gt;W25,$AK8&gt;7,ISNUMBER(W25),ISNUMBER(Y25)),1,0)</f>
        <v>0</v>
      </c>
      <c r="Z31" s="49">
        <f>IF(AND(Z25&gt;AB25,$AK8&gt;8,ISNUMBER(Z25),ISNUMBER(AB25)),1,0)</f>
        <v>0</v>
      </c>
      <c r="AA31" s="49"/>
      <c r="AB31" s="50">
        <f>IF(AND(AB25&gt;Z25,$AK8&gt;8,ISNUMBER(Z25),ISNUMBER(AB25)),1,0)</f>
        <v>0</v>
      </c>
      <c r="AC31" s="49">
        <f>IF(AND(AC25&gt;AE25,$AK8&gt;9,ISNUMBER(AC25),ISNUMBER(AE25)),1,0)</f>
        <v>0</v>
      </c>
      <c r="AD31" s="49"/>
      <c r="AE31" s="50">
        <f>IF(AND(AE25&gt;AC25,$AK8&gt;9,ISNUMBER(AC25),ISNUMBER(AE25)),1,0)</f>
        <v>0</v>
      </c>
    </row>
    <row r="32" spans="1:48" s="48" customFormat="1" ht="12.75" hidden="1" customHeight="1" x14ac:dyDescent="0.25">
      <c r="A32" s="48" t="s">
        <v>62</v>
      </c>
      <c r="B32" s="49">
        <f>IF(AND(B26&gt;D26,$AK8&gt;0,$AK7&gt;1,ISNUMBER(B26),ISNUMBER(D26)),1,0)</f>
        <v>0</v>
      </c>
      <c r="C32" s="49"/>
      <c r="D32" s="50">
        <f>IF(AND(D26&gt;B26,$AK8&gt;0,$AK7&gt;1,ISNUMBER(B26),ISNUMBER(D26)),1,0)</f>
        <v>0</v>
      </c>
      <c r="E32" s="49">
        <f>IF(AND(E26&gt;G26,$AK8&gt;1,$AK7&gt;1,ISNUMBER(E26),ISNUMBER(G26)),1,0)</f>
        <v>0</v>
      </c>
      <c r="F32" s="49"/>
      <c r="G32" s="50">
        <f>IF(AND(G26&gt;E26,$AK8&gt;1,$AK7&gt;1,ISNUMBER(E26),ISNUMBER(G26)),1,0)</f>
        <v>0</v>
      </c>
      <c r="H32" s="49">
        <f>IF(AND(H26&gt;J26,$AK8&gt;2,$AK7&gt;1,ISNUMBER(H26),ISNUMBER(J26)),1,0)</f>
        <v>0</v>
      </c>
      <c r="I32" s="49"/>
      <c r="J32" s="50">
        <f>IF(AND(J26&gt;H26,$AK8&gt;2,$AK7&gt;1,ISNUMBER(H26),ISNUMBER(J26)),1,0)</f>
        <v>0</v>
      </c>
      <c r="K32" s="49">
        <f>IF(AND(K26&gt;M26,$AK8&gt;3,$AK7&gt;1,ISNUMBER(K26),ISNUMBER(M26)),1,0)</f>
        <v>0</v>
      </c>
      <c r="L32" s="49"/>
      <c r="M32" s="50">
        <f>IF(AND(M26&gt;K26,$AK8&gt;3,$AK7&gt;1,ISNUMBER(K26),ISNUMBER(M26)),1,0)</f>
        <v>0</v>
      </c>
      <c r="N32" s="49">
        <f>IF(AND(N26&gt;P26,$AK8&gt;4,$AK7&gt;1,ISNUMBER(N26),ISNUMBER(P26)),1,0)</f>
        <v>0</v>
      </c>
      <c r="O32" s="49"/>
      <c r="P32" s="50">
        <f>IF(AND(P26&gt;N26,$AK8&gt;4,$AK7&gt;1,ISNUMBER(N26),ISNUMBER(P26)),1,0)</f>
        <v>0</v>
      </c>
      <c r="Q32" s="49">
        <f>IF(AND(Q26&gt;S26,$AK8&gt;5,$AK7&gt;1,ISNUMBER(Q26),ISNUMBER(S26)),1,0)</f>
        <v>0</v>
      </c>
      <c r="R32" s="49"/>
      <c r="S32" s="50">
        <f>IF(AND(S26&gt;Q26,$AK8&gt;5,$AK7&gt;1,ISNUMBER(Q26),ISNUMBER(S26)),1,0)</f>
        <v>0</v>
      </c>
      <c r="T32" s="49">
        <f>IF(AND(T26&gt;V26,$AK8&gt;6,$AK7&gt;1,ISNUMBER(T26),ISNUMBER(V26)),1,0)</f>
        <v>0</v>
      </c>
      <c r="U32" s="49"/>
      <c r="V32" s="50">
        <f>IF(AND(V26&gt;T26,$AK8&gt;6,$AK7&gt;1,ISNUMBER(T26),ISNUMBER(V26)),1,0)</f>
        <v>0</v>
      </c>
      <c r="W32" s="49">
        <f>IF(AND(W26&gt;Y26,$AK8&gt;7,$AK7&gt;1,ISNUMBER(W26),ISNUMBER(Y26)),1,0)</f>
        <v>0</v>
      </c>
      <c r="X32" s="49"/>
      <c r="Y32" s="50">
        <f>IF(AND(Y26&gt;W26,$AK8&gt;7,$AK7&gt;1,ISNUMBER(W26),ISNUMBER(Y26)),1,0)</f>
        <v>0</v>
      </c>
      <c r="Z32" s="49">
        <f>IF(AND(Z26&gt;AB26,$AK8&gt;8,$AK7&gt;1,ISNUMBER(Z26),ISNUMBER(AB26)),1,0)</f>
        <v>0</v>
      </c>
      <c r="AA32" s="49"/>
      <c r="AB32" s="50">
        <f>IF(AND(AB26&gt;Z26,$AK8&gt;8,$AK7&gt;1,ISNUMBER(Z26),ISNUMBER(AB26)),1,0)</f>
        <v>0</v>
      </c>
      <c r="AC32" s="49">
        <f>IF(AND(AC26&gt;AE26,$AK8&gt;9,$AK7&gt;1,ISNUMBER(AC26),ISNUMBER(AE26)),1,0)</f>
        <v>0</v>
      </c>
      <c r="AD32" s="49"/>
      <c r="AE32" s="50">
        <f>IF(AND(AE26&gt;AC26,$AK8&gt;9,$AK7&gt;1,ISNUMBER(AC26),ISNUMBER(AE26)),1,0)</f>
        <v>0</v>
      </c>
    </row>
    <row r="33" spans="1:33" s="48" customFormat="1" ht="12.75" hidden="1" customHeight="1" x14ac:dyDescent="0.25">
      <c r="A33" s="48" t="s">
        <v>63</v>
      </c>
      <c r="B33" s="49">
        <f>IF(AND(B27&gt;D27,$AK8&gt;0,$AK7&gt;2,ISNUMBER(B27),ISNUMBER(D27)),1,0)</f>
        <v>0</v>
      </c>
      <c r="C33" s="49"/>
      <c r="D33" s="50">
        <f>IF(AND(D27&gt;B27,$AK8&gt;0,$AK7&gt;2,ISNUMBER(B27),ISNUMBER(D27)),1,0)</f>
        <v>0</v>
      </c>
      <c r="E33" s="49">
        <f>IF(AND(E27&gt;G27,$AK8&gt;1,$AK7&gt;2,ISNUMBER(E27),ISNUMBER(G27)),1,0)</f>
        <v>0</v>
      </c>
      <c r="F33" s="49"/>
      <c r="G33" s="50">
        <f>IF(AND(G27&gt;E27,$AK8&gt;1,$AK7&gt;2,ISNUMBER(E27),ISNUMBER(G27)),1,0)</f>
        <v>0</v>
      </c>
      <c r="H33" s="49">
        <f>IF(AND(H27&gt;J27,$AK8&gt;2,$AK7&gt;2,ISNUMBER(H27),ISNUMBER(J27)),1,0)</f>
        <v>0</v>
      </c>
      <c r="I33" s="49"/>
      <c r="J33" s="50">
        <f>IF(AND(J27&gt;H27,$AK8&gt;2,$AK7&gt;2,ISNUMBER(H27),ISNUMBER(J27)),1,0)</f>
        <v>0</v>
      </c>
      <c r="K33" s="49">
        <f>IF(AND(K27&gt;M27,$AK8&gt;3,$AK7&gt;2,ISNUMBER(K27),ISNUMBER(M27)),1,0)</f>
        <v>0</v>
      </c>
      <c r="L33" s="49"/>
      <c r="M33" s="50">
        <f>IF(AND(M27&gt;K27,$AK8&gt;3,$AK7&gt;2,ISNUMBER(K27),ISNUMBER(M27)),1,0)</f>
        <v>0</v>
      </c>
      <c r="N33" s="49">
        <f>IF(AND(N27&gt;P27,$AK8&gt;4,$AK7&gt;2,ISNUMBER(N27),ISNUMBER(P27)),1,0)</f>
        <v>0</v>
      </c>
      <c r="O33" s="49"/>
      <c r="P33" s="50">
        <f>IF(AND(P27&gt;N27,$AK8&gt;4,$AK7&gt;2,ISNUMBER(N27),ISNUMBER(P27)),1,0)</f>
        <v>0</v>
      </c>
      <c r="Q33" s="49">
        <f>IF(AND(Q27&gt;S27,$AK8&gt;5,$AK7&gt;2,ISNUMBER(Q27),ISNUMBER(S27)),1,0)</f>
        <v>0</v>
      </c>
      <c r="R33" s="49"/>
      <c r="S33" s="50">
        <f>IF(AND(S27&gt;Q27,$AK8&gt;5,$AK7&gt;2,ISNUMBER(Q27),ISNUMBER(S27)),1,0)</f>
        <v>0</v>
      </c>
      <c r="T33" s="49">
        <f>IF(AND(T27&gt;V27,$AK8&gt;6,$AK7&gt;2,ISNUMBER(T27),ISNUMBER(V27)),1,0)</f>
        <v>0</v>
      </c>
      <c r="U33" s="49"/>
      <c r="V33" s="50">
        <f>IF(AND(V27&gt;T27,$AK8&gt;6,$AK7&gt;2,ISNUMBER(T27),ISNUMBER(V27)),1,0)</f>
        <v>0</v>
      </c>
      <c r="W33" s="49">
        <f>IF(AND(W27&gt;Y27,$AK8&gt;7,$AK7&gt;2,ISNUMBER(W27),ISNUMBER(Y27)),1,0)</f>
        <v>0</v>
      </c>
      <c r="X33" s="49"/>
      <c r="Y33" s="50">
        <f>IF(AND(Y27&gt;W27,$AK8&gt;7,$AK7&gt;2,ISNUMBER(W27),ISNUMBER(Y27)),1,0)</f>
        <v>0</v>
      </c>
      <c r="Z33" s="49">
        <f>IF(AND(Z27&gt;AB27,$AK8&gt;8,$AK7&gt;2,ISNUMBER(Z27),ISNUMBER(AB27)),1,0)</f>
        <v>0</v>
      </c>
      <c r="AA33" s="49"/>
      <c r="AB33" s="50">
        <f>IF(AND(AB27&gt;Z27,$AK8&gt;8,$AK7&gt;2,ISNUMBER(Z27),ISNUMBER(AB27)),1,0)</f>
        <v>0</v>
      </c>
      <c r="AC33" s="49">
        <f>IF(AND(AC27&gt;AE27,$AK8&gt;9,$AK7&gt;2,ISNUMBER(AC27),ISNUMBER(AE27)),1,0)</f>
        <v>0</v>
      </c>
      <c r="AD33" s="49"/>
      <c r="AE33" s="50">
        <f>IF(AND(AE27&gt;AC27,$AK8&gt;9,$AK7&gt;2,ISNUMBER(AC27),ISNUMBER(AE27)),1,0)</f>
        <v>0</v>
      </c>
    </row>
    <row r="34" spans="1:33" s="48" customFormat="1" ht="12.75" hidden="1" customHeight="1" x14ac:dyDescent="0.25">
      <c r="A34" s="48" t="s">
        <v>64</v>
      </c>
      <c r="B34" s="49">
        <f>IF(AND(B28&gt;D28,$AK8&gt;0,$AK7&gt;3,ISNUMBER(B28),ISNUMBER(D28)),1,0)</f>
        <v>0</v>
      </c>
      <c r="C34" s="49"/>
      <c r="D34" s="50">
        <f>IF(AND(D28&gt;B28,$AK8&gt;0,$AK7&gt;3,ISNUMBER(B28),ISNUMBER(D28)),1,0)</f>
        <v>0</v>
      </c>
      <c r="E34" s="49">
        <f>IF(AND(E28&gt;G28,$AK8&gt;1,$AK7&gt;3,ISNUMBER(E28),ISNUMBER(G28)),1,0)</f>
        <v>0</v>
      </c>
      <c r="F34" s="49"/>
      <c r="G34" s="50">
        <f>IF(AND(G28&gt;E28,$AK8&gt;1,$AK7&gt;3,ISNUMBER(E28),ISNUMBER(G28)),1,0)</f>
        <v>0</v>
      </c>
      <c r="H34" s="49">
        <f>IF(AND(H28&gt;J28,$AK8&gt;2,$AK7&gt;3,ISNUMBER(H28),ISNUMBER(J28)),1,0)</f>
        <v>0</v>
      </c>
      <c r="I34" s="49"/>
      <c r="J34" s="50">
        <f>IF(AND(J28&gt;H28,$AK8&gt;2,$AK7&gt;3,ISNUMBER(H28),ISNUMBER(J28)),1,0)</f>
        <v>0</v>
      </c>
      <c r="K34" s="49">
        <f>IF(AND(K28&gt;M28,$AK8&gt;3,$AK7&gt;3,ISNUMBER(K28),ISNUMBER(M28)),1,0)</f>
        <v>0</v>
      </c>
      <c r="L34" s="49"/>
      <c r="M34" s="50">
        <f>IF(AND(M28&gt;K28,$AK8&gt;3,$AK7&gt;3,ISNUMBER(K28),ISNUMBER(M28)),1,0)</f>
        <v>0</v>
      </c>
      <c r="N34" s="49">
        <f>IF(AND(N28&gt;P28,$AK8&gt;4,$AK7&gt;3,ISNUMBER(N28),ISNUMBER(P28)),1,0)</f>
        <v>0</v>
      </c>
      <c r="O34" s="49"/>
      <c r="P34" s="50">
        <f>IF(AND(P28&gt;N28,$AK8&gt;4,$AK7&gt;3,ISNUMBER(N28),ISNUMBER(P28)),1,0)</f>
        <v>0</v>
      </c>
      <c r="Q34" s="49">
        <f>IF(AND(Q28&gt;S28,$AK8&gt;5,$AK7&gt;3,ISNUMBER(Q28),ISNUMBER(S28)),1,0)</f>
        <v>0</v>
      </c>
      <c r="R34" s="49"/>
      <c r="S34" s="50">
        <f>IF(AND(S28&gt;Q28,$AK8&gt;5,$AK7&gt;3,ISNUMBER(Q28),ISNUMBER(S28)),1,0)</f>
        <v>0</v>
      </c>
      <c r="T34" s="49">
        <f>IF(AND(T28&gt;V28,$AK8&gt;6,$AK7&gt;3,ISNUMBER(T28),ISNUMBER(V28)),1,0)</f>
        <v>0</v>
      </c>
      <c r="U34" s="49"/>
      <c r="V34" s="50">
        <f>IF(AND(V28&gt;T28,$AK8&gt;6,$AK7&gt;3,ISNUMBER(T28),ISNUMBER(V28)),1,0)</f>
        <v>0</v>
      </c>
      <c r="W34" s="49">
        <f>IF(AND(W28&gt;Y28,$AK8&gt;7,$AK7&gt;3,ISNUMBER(W28),ISNUMBER(Y28)),1,0)</f>
        <v>0</v>
      </c>
      <c r="X34" s="49"/>
      <c r="Y34" s="50">
        <f>IF(AND(Y28&gt;W28,$AK8&gt;7,$AK7&gt;3,ISNUMBER(W28),ISNUMBER(Y28)),1,0)</f>
        <v>0</v>
      </c>
      <c r="Z34" s="49">
        <f>IF(AND(Z28&gt;AB28,$AK8&gt;8,$AK7&gt;3,ISNUMBER(Z28),ISNUMBER(AB28)),1,0)</f>
        <v>0</v>
      </c>
      <c r="AA34" s="49"/>
      <c r="AB34" s="50">
        <f>IF(AND(AB28&gt;Z28,$AK8&gt;8,$AK7&gt;3,ISNUMBER(Z28),ISNUMBER(AB28)),1,0)</f>
        <v>0</v>
      </c>
      <c r="AC34" s="49">
        <f>IF(AND(AC28&gt;AE28,$AK8&gt;9,$AK7&gt;3,ISNUMBER(AC28),ISNUMBER(AE28)),1,0)</f>
        <v>0</v>
      </c>
      <c r="AD34" s="49"/>
      <c r="AE34" s="50">
        <f>IF(AND(AE28&gt;AC28,$AK8&gt;9,$AK7&gt;3,ISNUMBER(AC28),ISNUMBER(AE28)),1,0)</f>
        <v>0</v>
      </c>
    </row>
    <row r="35" spans="1:33" s="48" customFormat="1" ht="12.75" hidden="1" customHeight="1" x14ac:dyDescent="0.25">
      <c r="A35" s="48" t="s">
        <v>65</v>
      </c>
      <c r="B35" s="49">
        <f>IF(AND(B29&gt;D29,$AK8&gt;0,$AK7&gt;4,ISNUMBER(B29),ISNUMBER(D29)),1,0)</f>
        <v>0</v>
      </c>
      <c r="C35" s="49"/>
      <c r="D35" s="50">
        <f>IF(AND(D29&gt;B29,$AK8&gt;0,$AK7&gt;4,ISNUMBER(B29),ISNUMBER(D29)),1,0)</f>
        <v>0</v>
      </c>
      <c r="E35" s="49">
        <f>IF(AND(E29&gt;G29,$AK8&gt;1,$AK7&gt;4,ISNUMBER(E29),ISNUMBER(G29)),1,0)</f>
        <v>0</v>
      </c>
      <c r="F35" s="49"/>
      <c r="G35" s="50">
        <f>IF(AND(G29&gt;E29,$AK8&gt;1,$AK7&gt;4,ISNUMBER(E29),ISNUMBER(G29)),1,0)</f>
        <v>0</v>
      </c>
      <c r="H35" s="49">
        <f>IF(AND(H29&gt;J29,$AK8&gt;2,$AK7&gt;4,ISNUMBER(H29),ISNUMBER(J29)),1,0)</f>
        <v>0</v>
      </c>
      <c r="I35" s="49"/>
      <c r="J35" s="50">
        <f>IF(AND(J29&gt;H29,$AK8&gt;2,$AK7&gt;4,ISNUMBER(H29),ISNUMBER(J29)),1,0)</f>
        <v>0</v>
      </c>
      <c r="K35" s="49">
        <f>IF(AND(K29&gt;M29,$AK8&gt;3,$AK7&gt;4,ISNUMBER(K29),ISNUMBER(M29)),1,0)</f>
        <v>0</v>
      </c>
      <c r="L35" s="49"/>
      <c r="M35" s="50">
        <f>IF(AND(M29&gt;K29,$AK8&gt;3,$AK7&gt;4,ISNUMBER(K29),ISNUMBER(M29)),1,0)</f>
        <v>0</v>
      </c>
      <c r="N35" s="49">
        <f>IF(AND(N29&gt;P29,$AK8&gt;4,$AK7&gt;4,ISNUMBER(N29),ISNUMBER(P29)),1,0)</f>
        <v>0</v>
      </c>
      <c r="O35" s="49"/>
      <c r="P35" s="50">
        <f>IF(AND(P29&gt;N29,$AK8&gt;4,$AK7&gt;4,ISNUMBER(N29),ISNUMBER(P29)),1,0)</f>
        <v>0</v>
      </c>
      <c r="Q35" s="49">
        <f>IF(AND(Q29&gt;S29,$AK8&gt;5,$AK7&gt;4,ISNUMBER(Q29),ISNUMBER(S29)),1,0)</f>
        <v>0</v>
      </c>
      <c r="R35" s="49"/>
      <c r="S35" s="50">
        <f>IF(AND(S29&gt;Q29,$AK8&gt;5,$AK7&gt;4,ISNUMBER(Q29),ISNUMBER(S29)),1,0)</f>
        <v>0</v>
      </c>
      <c r="T35" s="49">
        <f>IF(AND(T29&gt;V29,$AK8&gt;6,$AK7&gt;4,ISNUMBER(T29),ISNUMBER(V29)),1,0)</f>
        <v>0</v>
      </c>
      <c r="U35" s="49"/>
      <c r="V35" s="50">
        <f>IF(AND(V29&gt;T29,$AK8&gt;6,$AK7&gt;4,ISNUMBER(T29),ISNUMBER(V29)),1,0)</f>
        <v>0</v>
      </c>
      <c r="W35" s="49">
        <f>IF(AND(W29&gt;Y29,$AK8&gt;7,$AK7&gt;4,ISNUMBER(W29),ISNUMBER(Y29)),1,0)</f>
        <v>0</v>
      </c>
      <c r="X35" s="49"/>
      <c r="Y35" s="50">
        <f>IF(AND(Y29&gt;W29,$AK8&gt;7,$AK7&gt;4,ISNUMBER(W29),ISNUMBER(Y29)),1,0)</f>
        <v>0</v>
      </c>
      <c r="Z35" s="49">
        <f>IF(AND(Z29&gt;AB29,$AK8&gt;8,$AK7&gt;4,ISNUMBER(Z29),ISNUMBER(AB29)),1,0)</f>
        <v>0</v>
      </c>
      <c r="AA35" s="49"/>
      <c r="AB35" s="50">
        <f>IF(AND(AB29&gt;Z29,$AK8&gt;8,$AK7&gt;4,ISNUMBER(Z29),ISNUMBER(AB29)),1,0)</f>
        <v>0</v>
      </c>
      <c r="AC35" s="49">
        <f>IF(AND(AC29&gt;AE29,$AK8&gt;9,$AK7&gt;4,ISNUMBER(AC29),ISNUMBER(AE29)),1,0)</f>
        <v>0</v>
      </c>
      <c r="AD35" s="49"/>
      <c r="AE35" s="50">
        <f>IF(AND(AE29&gt;AC29,$AK8&gt;9,$AK7&gt;4,ISNUMBER(AC29),ISNUMBER(AE29)),1,0)</f>
        <v>0</v>
      </c>
    </row>
    <row r="36" spans="1:33" s="48" customFormat="1" ht="38.25" hidden="1" customHeight="1" x14ac:dyDescent="0.25">
      <c r="A36" s="51" t="s">
        <v>66</v>
      </c>
      <c r="B36" s="48">
        <f>SUM(B31:B35)</f>
        <v>1</v>
      </c>
      <c r="D36" s="52">
        <f>SUM(D31:D35)</f>
        <v>0</v>
      </c>
      <c r="E36" s="48">
        <f>SUM(E31:E35)</f>
        <v>0</v>
      </c>
      <c r="G36" s="52">
        <f>SUM(G31:G35)</f>
        <v>1</v>
      </c>
      <c r="H36" s="48">
        <f>SUM(H31:H35)</f>
        <v>1</v>
      </c>
      <c r="J36" s="52">
        <f>SUM(J31:J35)</f>
        <v>0</v>
      </c>
      <c r="K36" s="48">
        <f>SUM(K31:K35)</f>
        <v>1</v>
      </c>
      <c r="M36" s="52">
        <f>SUM(M31:M35)</f>
        <v>0</v>
      </c>
      <c r="N36" s="48">
        <f>SUM(N31:N35)</f>
        <v>0</v>
      </c>
      <c r="P36" s="52">
        <f>SUM(P31:P35)</f>
        <v>1</v>
      </c>
      <c r="Q36" s="48">
        <f>SUM(Q31:Q35)</f>
        <v>0</v>
      </c>
      <c r="S36" s="52">
        <f>SUM(S31:S35)</f>
        <v>1</v>
      </c>
      <c r="T36" s="48">
        <f>SUM(T31:T35)</f>
        <v>0</v>
      </c>
      <c r="V36" s="52">
        <f>SUM(V31:V35)</f>
        <v>0</v>
      </c>
      <c r="W36" s="48">
        <f>SUM(W31:W35)</f>
        <v>0</v>
      </c>
      <c r="Y36" s="52">
        <f>SUM(Y31:Y35)</f>
        <v>0</v>
      </c>
      <c r="Z36" s="48">
        <f>SUM(Z31:Z35)</f>
        <v>0</v>
      </c>
      <c r="AB36" s="52">
        <f>SUM(AB31:AB35)</f>
        <v>0</v>
      </c>
      <c r="AC36" s="48">
        <f>SUM(AC31:AC35)</f>
        <v>0</v>
      </c>
      <c r="AE36" s="52">
        <f>SUM(AE31:AE35)</f>
        <v>0</v>
      </c>
    </row>
    <row r="37" spans="1:33" s="48" customFormat="1" ht="25.5" hidden="1" customHeight="1" x14ac:dyDescent="0.25">
      <c r="A37" s="51" t="s">
        <v>67</v>
      </c>
      <c r="B37" s="48">
        <f>IF(B36&gt;D36,IF(C71=AK7,1,IF(C71=AK7-1,1,0)),0)</f>
        <v>1</v>
      </c>
      <c r="C37" s="48">
        <f>B37+D37</f>
        <v>1</v>
      </c>
      <c r="D37" s="52">
        <f>IF(D36&gt;B36,IF(C71=AK7,1,IF(C71=AK7-1,1,0)),0)</f>
        <v>0</v>
      </c>
      <c r="E37" s="48">
        <f>IF(E36&gt;G36,IF(F71=AK7,1,IF(F71=AK7-1,1,0)),0)</f>
        <v>0</v>
      </c>
      <c r="F37" s="48">
        <f>E37+G37</f>
        <v>1</v>
      </c>
      <c r="G37" s="52">
        <f>IF(G36&gt;E36,IF(F71=AK7,1,IF(F71=AK7-1,1,0)),0)</f>
        <v>1</v>
      </c>
      <c r="H37" s="48">
        <f>IF(H36&gt;J36,IF(I71=AK7,1,IF(I71=AK7-1,1,0)),0)</f>
        <v>1</v>
      </c>
      <c r="I37" s="48">
        <f>H37+J37</f>
        <v>1</v>
      </c>
      <c r="J37" s="52">
        <f>IF(J36&gt;H36,IF(I71=AK7,1,IF(I71=AK7-1,1,0)),0)</f>
        <v>0</v>
      </c>
      <c r="K37" s="48">
        <f>IF(K36&gt;M36,IF(L71=AK7,1,IF(L71=AK7-1,1,0)),0)</f>
        <v>1</v>
      </c>
      <c r="L37" s="48">
        <f>K37+M37</f>
        <v>1</v>
      </c>
      <c r="M37" s="52">
        <f>IF(M36&gt;K36,IF(L71=AK7,1,IF(L71=AK7-1,1,0)),0)</f>
        <v>0</v>
      </c>
      <c r="N37" s="48">
        <f>IF(N36&gt;P36,IF(O71=AK7,1,IF(O71=AK7-1,1,0)),0)</f>
        <v>0</v>
      </c>
      <c r="O37" s="48">
        <f>N37+P37</f>
        <v>1</v>
      </c>
      <c r="P37" s="52">
        <f>IF(P36&gt;N36,IF(O71=AK7,1,IF(O71=AK7-1,1,0)),0)</f>
        <v>1</v>
      </c>
      <c r="Q37" s="48">
        <f>IF(Q36&gt;S36,IF(R71=AK7,1,IF(R71=AK7-1,1,0)),0)</f>
        <v>0</v>
      </c>
      <c r="R37" s="48">
        <f>Q37+S37</f>
        <v>1</v>
      </c>
      <c r="S37" s="52">
        <f>IF(S36&gt;Q36,IF(R71=AK7,1,IF(R71=AK7-1,1,0)),0)</f>
        <v>1</v>
      </c>
      <c r="T37" s="48">
        <f>IF(T36&gt;V36,IF(U71=AK7,1,IF(U71=AK7-1,1,0)),0)</f>
        <v>0</v>
      </c>
      <c r="U37" s="48">
        <f>T37+V37</f>
        <v>0</v>
      </c>
      <c r="V37" s="52">
        <f>IF(V36&gt;T36,IF(U71=AK7,1,IF(U71=AK7-1,1,0)),0)</f>
        <v>0</v>
      </c>
      <c r="W37" s="48">
        <f>IF(W36&gt;Y36,IF(X71=AK7,1,IF(X71=AK7-1,1,0)),0)</f>
        <v>0</v>
      </c>
      <c r="X37" s="48">
        <f>W37+Y37</f>
        <v>0</v>
      </c>
      <c r="Y37" s="52">
        <f>IF(Y36&gt;W36,IF(X71=AK7,1,IF(X71=AK7-1,1,0)),0)</f>
        <v>0</v>
      </c>
      <c r="Z37" s="48">
        <f>IF(Z36&gt;AB36,IF(AA71=AK7,1,IF(AA71=AK7-1,1,0)),0)</f>
        <v>0</v>
      </c>
      <c r="AA37" s="48">
        <f>Z37+AB37</f>
        <v>0</v>
      </c>
      <c r="AB37" s="52">
        <f>IF(AB36&gt;Z36,IF(AA71=AK7,1,IF(AA71=AK7-1,1,0)),0)</f>
        <v>0</v>
      </c>
      <c r="AC37" s="48">
        <f>IF(AC36&gt;AE36,IF(AD71=AK7,1,IF(AD71=AK7-1,1,0)),0)</f>
        <v>0</v>
      </c>
      <c r="AD37" s="48">
        <f>AC37+AE37</f>
        <v>0</v>
      </c>
      <c r="AE37" s="52">
        <f>IF(AE36&gt;AC36,IF(AD71=AK7,1,IF(AD71=AK7-1,1,0)),0)</f>
        <v>0</v>
      </c>
    </row>
    <row r="38" spans="1:33" s="48" customFormat="1" ht="25.5" hidden="1" customHeight="1" x14ac:dyDescent="0.25">
      <c r="A38" s="51"/>
      <c r="D38" s="52"/>
      <c r="G38" s="52"/>
      <c r="J38" s="52"/>
      <c r="M38" s="52"/>
      <c r="P38" s="52"/>
      <c r="S38" s="52"/>
      <c r="V38" s="52"/>
      <c r="Y38" s="52"/>
      <c r="AB38" s="52"/>
      <c r="AE38" s="52"/>
    </row>
    <row r="39" spans="1:33" s="48" customFormat="1" ht="12.75" hidden="1" customHeight="1" x14ac:dyDescent="0.25">
      <c r="A39" s="48" t="s">
        <v>68</v>
      </c>
      <c r="B39" s="48">
        <f>IF(B31=1,B25,0)</f>
        <v>24</v>
      </c>
      <c r="D39" s="52">
        <f t="shared" ref="D39:E43" si="0">IF(D31=1,D25,0)</f>
        <v>0</v>
      </c>
      <c r="E39" s="48">
        <f t="shared" si="0"/>
        <v>0</v>
      </c>
      <c r="G39" s="52">
        <f t="shared" ref="G39:H43" si="1">IF(G31=1,G25,0)</f>
        <v>31</v>
      </c>
      <c r="H39" s="48">
        <f t="shared" si="1"/>
        <v>26</v>
      </c>
      <c r="J39" s="52">
        <f t="shared" ref="J39:K43" si="2">IF(J31=1,J25,0)</f>
        <v>0</v>
      </c>
      <c r="K39" s="48">
        <f t="shared" si="2"/>
        <v>31</v>
      </c>
      <c r="M39" s="52">
        <f t="shared" ref="M39:N43" si="3">IF(M31=1,M25,0)</f>
        <v>0</v>
      </c>
      <c r="N39" s="48">
        <f t="shared" si="3"/>
        <v>0</v>
      </c>
      <c r="P39" s="52">
        <f t="shared" ref="P39:Q43" si="4">IF(P31=1,P25,0)</f>
        <v>31</v>
      </c>
      <c r="Q39" s="48">
        <f t="shared" si="4"/>
        <v>0</v>
      </c>
      <c r="S39" s="52">
        <f t="shared" ref="S39:T43" si="5">IF(S31=1,S25,0)</f>
        <v>23</v>
      </c>
      <c r="T39" s="48">
        <f t="shared" si="5"/>
        <v>0</v>
      </c>
      <c r="V39" s="52">
        <f t="shared" ref="V39:W43" si="6">IF(V31=1,V25,0)</f>
        <v>0</v>
      </c>
      <c r="W39" s="48">
        <f t="shared" si="6"/>
        <v>0</v>
      </c>
      <c r="Y39" s="52">
        <f t="shared" ref="Y39:Z43" si="7">IF(Y31=1,Y25,0)</f>
        <v>0</v>
      </c>
      <c r="Z39" s="48">
        <f t="shared" si="7"/>
        <v>0</v>
      </c>
      <c r="AB39" s="52">
        <f t="shared" ref="AB39:AC43" si="8">IF(AB31=1,AB25,0)</f>
        <v>0</v>
      </c>
      <c r="AC39" s="48">
        <f t="shared" si="8"/>
        <v>0</v>
      </c>
      <c r="AE39" s="52">
        <f>IF(AE31=1,AE25,0)</f>
        <v>0</v>
      </c>
    </row>
    <row r="40" spans="1:33" s="48" customFormat="1" ht="12.75" hidden="1" customHeight="1" x14ac:dyDescent="0.25">
      <c r="A40" s="48" t="s">
        <v>69</v>
      </c>
      <c r="B40" s="48">
        <f>IF(B32=1,B26,0)</f>
        <v>0</v>
      </c>
      <c r="D40" s="52">
        <f t="shared" si="0"/>
        <v>0</v>
      </c>
      <c r="E40" s="48">
        <f t="shared" si="0"/>
        <v>0</v>
      </c>
      <c r="G40" s="52">
        <f t="shared" si="1"/>
        <v>0</v>
      </c>
      <c r="H40" s="48">
        <f t="shared" si="1"/>
        <v>0</v>
      </c>
      <c r="J40" s="52">
        <f t="shared" si="2"/>
        <v>0</v>
      </c>
      <c r="K40" s="48">
        <f t="shared" si="2"/>
        <v>0</v>
      </c>
      <c r="M40" s="52">
        <f t="shared" si="3"/>
        <v>0</v>
      </c>
      <c r="N40" s="48">
        <f t="shared" si="3"/>
        <v>0</v>
      </c>
      <c r="P40" s="52">
        <f t="shared" si="4"/>
        <v>0</v>
      </c>
      <c r="Q40" s="48">
        <f t="shared" si="4"/>
        <v>0</v>
      </c>
      <c r="S40" s="52">
        <f t="shared" si="5"/>
        <v>0</v>
      </c>
      <c r="T40" s="48">
        <f t="shared" si="5"/>
        <v>0</v>
      </c>
      <c r="V40" s="52">
        <f t="shared" si="6"/>
        <v>0</v>
      </c>
      <c r="W40" s="48">
        <f t="shared" si="6"/>
        <v>0</v>
      </c>
      <c r="Y40" s="52">
        <f t="shared" si="7"/>
        <v>0</v>
      </c>
      <c r="Z40" s="48">
        <f t="shared" si="7"/>
        <v>0</v>
      </c>
      <c r="AB40" s="52">
        <f t="shared" si="8"/>
        <v>0</v>
      </c>
      <c r="AC40" s="48">
        <f t="shared" si="8"/>
        <v>0</v>
      </c>
      <c r="AE40" s="52">
        <f>IF(AE32=1,AE26,0)</f>
        <v>0</v>
      </c>
    </row>
    <row r="41" spans="1:33" s="48" customFormat="1" ht="12.75" hidden="1" customHeight="1" x14ac:dyDescent="0.25">
      <c r="A41" s="48" t="s">
        <v>70</v>
      </c>
      <c r="B41" s="48">
        <f>IF(B33=1,B27,0)</f>
        <v>0</v>
      </c>
      <c r="D41" s="52">
        <f t="shared" si="0"/>
        <v>0</v>
      </c>
      <c r="E41" s="48">
        <f t="shared" si="0"/>
        <v>0</v>
      </c>
      <c r="G41" s="52">
        <f t="shared" si="1"/>
        <v>0</v>
      </c>
      <c r="H41" s="48">
        <f t="shared" si="1"/>
        <v>0</v>
      </c>
      <c r="J41" s="52">
        <f t="shared" si="2"/>
        <v>0</v>
      </c>
      <c r="K41" s="48">
        <f t="shared" si="2"/>
        <v>0</v>
      </c>
      <c r="M41" s="52">
        <f t="shared" si="3"/>
        <v>0</v>
      </c>
      <c r="N41" s="48">
        <f t="shared" si="3"/>
        <v>0</v>
      </c>
      <c r="P41" s="52">
        <f t="shared" si="4"/>
        <v>0</v>
      </c>
      <c r="Q41" s="48">
        <f t="shared" si="4"/>
        <v>0</v>
      </c>
      <c r="S41" s="52">
        <f t="shared" si="5"/>
        <v>0</v>
      </c>
      <c r="T41" s="48">
        <f t="shared" si="5"/>
        <v>0</v>
      </c>
      <c r="V41" s="52">
        <f t="shared" si="6"/>
        <v>0</v>
      </c>
      <c r="W41" s="48">
        <f t="shared" si="6"/>
        <v>0</v>
      </c>
      <c r="Y41" s="52">
        <f t="shared" si="7"/>
        <v>0</v>
      </c>
      <c r="Z41" s="48">
        <f t="shared" si="7"/>
        <v>0</v>
      </c>
      <c r="AB41" s="52">
        <f t="shared" si="8"/>
        <v>0</v>
      </c>
      <c r="AC41" s="48">
        <f t="shared" si="8"/>
        <v>0</v>
      </c>
      <c r="AE41" s="52">
        <f>IF(AE33=1,AE27,0)</f>
        <v>0</v>
      </c>
    </row>
    <row r="42" spans="1:33" s="48" customFormat="1" ht="12.75" hidden="1" customHeight="1" x14ac:dyDescent="0.25">
      <c r="A42" s="48" t="s">
        <v>71</v>
      </c>
      <c r="B42" s="48">
        <f>IF(B34=1,B28,0)</f>
        <v>0</v>
      </c>
      <c r="D42" s="52">
        <f t="shared" si="0"/>
        <v>0</v>
      </c>
      <c r="E42" s="48">
        <f t="shared" si="0"/>
        <v>0</v>
      </c>
      <c r="G42" s="52">
        <f t="shared" si="1"/>
        <v>0</v>
      </c>
      <c r="H42" s="48">
        <f t="shared" si="1"/>
        <v>0</v>
      </c>
      <c r="J42" s="52">
        <f t="shared" si="2"/>
        <v>0</v>
      </c>
      <c r="K42" s="48">
        <f t="shared" si="2"/>
        <v>0</v>
      </c>
      <c r="M42" s="52">
        <f t="shared" si="3"/>
        <v>0</v>
      </c>
      <c r="N42" s="48">
        <f t="shared" si="3"/>
        <v>0</v>
      </c>
      <c r="P42" s="52">
        <f t="shared" si="4"/>
        <v>0</v>
      </c>
      <c r="Q42" s="48">
        <f t="shared" si="4"/>
        <v>0</v>
      </c>
      <c r="S42" s="52">
        <f t="shared" si="5"/>
        <v>0</v>
      </c>
      <c r="T42" s="48">
        <f t="shared" si="5"/>
        <v>0</v>
      </c>
      <c r="V42" s="52">
        <f t="shared" si="6"/>
        <v>0</v>
      </c>
      <c r="W42" s="48">
        <f t="shared" si="6"/>
        <v>0</v>
      </c>
      <c r="Y42" s="52">
        <f t="shared" si="7"/>
        <v>0</v>
      </c>
      <c r="Z42" s="48">
        <f t="shared" si="7"/>
        <v>0</v>
      </c>
      <c r="AB42" s="52">
        <f t="shared" si="8"/>
        <v>0</v>
      </c>
      <c r="AC42" s="48">
        <f t="shared" si="8"/>
        <v>0</v>
      </c>
      <c r="AE42" s="52">
        <f>IF(AE34=1,AE28,0)</f>
        <v>0</v>
      </c>
    </row>
    <row r="43" spans="1:33" s="48" customFormat="1" ht="12.75" hidden="1" customHeight="1" x14ac:dyDescent="0.25">
      <c r="A43" s="48" t="s">
        <v>72</v>
      </c>
      <c r="B43" s="48">
        <f>IF(B35=1,B29,0)</f>
        <v>0</v>
      </c>
      <c r="D43" s="52">
        <f t="shared" si="0"/>
        <v>0</v>
      </c>
      <c r="E43" s="48">
        <f t="shared" si="0"/>
        <v>0</v>
      </c>
      <c r="G43" s="52">
        <f t="shared" si="1"/>
        <v>0</v>
      </c>
      <c r="H43" s="48">
        <f t="shared" si="1"/>
        <v>0</v>
      </c>
      <c r="J43" s="52">
        <f t="shared" si="2"/>
        <v>0</v>
      </c>
      <c r="K43" s="48">
        <f t="shared" si="2"/>
        <v>0</v>
      </c>
      <c r="M43" s="52">
        <f t="shared" si="3"/>
        <v>0</v>
      </c>
      <c r="N43" s="48">
        <f t="shared" si="3"/>
        <v>0</v>
      </c>
      <c r="P43" s="52">
        <f t="shared" si="4"/>
        <v>0</v>
      </c>
      <c r="Q43" s="48">
        <f t="shared" si="4"/>
        <v>0</v>
      </c>
      <c r="S43" s="52">
        <f t="shared" si="5"/>
        <v>0</v>
      </c>
      <c r="T43" s="48">
        <f t="shared" si="5"/>
        <v>0</v>
      </c>
      <c r="V43" s="52">
        <f t="shared" si="6"/>
        <v>0</v>
      </c>
      <c r="W43" s="48">
        <f t="shared" si="6"/>
        <v>0</v>
      </c>
      <c r="Y43" s="52">
        <f t="shared" si="7"/>
        <v>0</v>
      </c>
      <c r="Z43" s="48">
        <f t="shared" si="7"/>
        <v>0</v>
      </c>
      <c r="AB43" s="52">
        <f t="shared" si="8"/>
        <v>0</v>
      </c>
      <c r="AC43" s="48">
        <f t="shared" si="8"/>
        <v>0</v>
      </c>
      <c r="AE43" s="52">
        <f>IF(AE35=1,AE29,0)</f>
        <v>0</v>
      </c>
    </row>
    <row r="44" spans="1:33" s="48" customFormat="1" ht="38.25" hidden="1" customHeight="1" x14ac:dyDescent="0.25">
      <c r="A44" s="51" t="s">
        <v>73</v>
      </c>
      <c r="B44" s="48">
        <f>SUM(B39:D43)</f>
        <v>24</v>
      </c>
      <c r="D44" s="52"/>
      <c r="E44" s="48">
        <f>SUM(E39:G43)</f>
        <v>31</v>
      </c>
      <c r="G44" s="52"/>
      <c r="H44" s="48">
        <f>SUM(H39:J43)</f>
        <v>26</v>
      </c>
      <c r="J44" s="52"/>
      <c r="K44" s="48">
        <f>SUM(K39:M43)</f>
        <v>31</v>
      </c>
      <c r="M44" s="52"/>
      <c r="N44" s="48">
        <f>SUM(N39:P43)</f>
        <v>31</v>
      </c>
      <c r="P44" s="52"/>
      <c r="Q44" s="48">
        <f>SUM(Q39:S43)</f>
        <v>23</v>
      </c>
      <c r="S44" s="52"/>
      <c r="T44" s="48">
        <f>SUM(T39:V43)</f>
        <v>0</v>
      </c>
      <c r="V44" s="52"/>
      <c r="W44" s="48">
        <f>SUM(W39:Y43)</f>
        <v>0</v>
      </c>
      <c r="Y44" s="52"/>
      <c r="Z44" s="48">
        <f>SUM(Z39:AB43)</f>
        <v>0</v>
      </c>
      <c r="AB44" s="52"/>
      <c r="AC44" s="48">
        <f>SUM(AC39:AE43)</f>
        <v>0</v>
      </c>
      <c r="AE44" s="52"/>
    </row>
    <row r="45" spans="1:33" s="48" customFormat="1" ht="38.25" hidden="1" customHeight="1" x14ac:dyDescent="0.25">
      <c r="A45" s="48" t="s">
        <v>74</v>
      </c>
      <c r="D45" s="52"/>
      <c r="G45" s="52"/>
      <c r="J45" s="52"/>
      <c r="M45" s="52"/>
      <c r="P45" s="52"/>
      <c r="S45" s="52"/>
      <c r="V45" s="52"/>
      <c r="Y45" s="52"/>
      <c r="AB45" s="52"/>
      <c r="AE45" s="52"/>
      <c r="AF45" s="51" t="s">
        <v>75</v>
      </c>
      <c r="AG45" s="48" t="s">
        <v>76</v>
      </c>
    </row>
    <row r="46" spans="1:33" s="48" customFormat="1" ht="12.75" hidden="1" customHeight="1" x14ac:dyDescent="0.25">
      <c r="A46" s="48" t="s">
        <v>77</v>
      </c>
      <c r="B46" s="48">
        <f>IF(B24=1,IF(B37=1,1,0),0)</f>
        <v>0</v>
      </c>
      <c r="D46" s="52">
        <f>IF(D24=1,IF(D37=1,1,0),0)</f>
        <v>0</v>
      </c>
      <c r="E46" s="48">
        <f>IF(E24=1,IF(E37=1,1,0),0)</f>
        <v>0</v>
      </c>
      <c r="G46" s="52">
        <f>IF(G24=1,IF(G37=1,1,0),0)</f>
        <v>0</v>
      </c>
      <c r="H46" s="48">
        <f>IF(H24=1,IF(H37=1,1,0),0)</f>
        <v>0</v>
      </c>
      <c r="J46" s="52">
        <f>IF(J24=1,IF(J37=1,1,0),0)</f>
        <v>0</v>
      </c>
      <c r="K46" s="48">
        <f>IF(K24=1,IF(K37=1,1,0),0)</f>
        <v>1</v>
      </c>
      <c r="M46" s="52">
        <f>IF(M24=1,IF(M37=1,1,0),0)</f>
        <v>0</v>
      </c>
      <c r="N46" s="48">
        <f>IF(N24=1,IF(N37=1,1,0),0)</f>
        <v>0</v>
      </c>
      <c r="P46" s="52">
        <f>IF(P24=1,IF(P37=1,1,0),0)</f>
        <v>0</v>
      </c>
      <c r="Q46" s="48">
        <f>IF(Q24=1,IF(Q37=1,1,0),0)</f>
        <v>0</v>
      </c>
      <c r="S46" s="52">
        <f>IF(S24=1,IF(S37=1,1,0),0)</f>
        <v>0</v>
      </c>
      <c r="T46" s="48">
        <f>IF(T24=1,IF(T37=1,1,0),0)</f>
        <v>0</v>
      </c>
      <c r="V46" s="52">
        <f>IF(V24=1,IF(V37=1,1,0),0)</f>
        <v>0</v>
      </c>
      <c r="W46" s="48">
        <f>IF(W24=1,IF(W37=1,1,0),0)</f>
        <v>0</v>
      </c>
      <c r="Y46" s="52">
        <f>IF(Y24=1,IF(Y37=1,1,0),0)</f>
        <v>0</v>
      </c>
      <c r="Z46" s="48">
        <f>IF(Z24=1,IF(Z37=1,1,0),0)</f>
        <v>0</v>
      </c>
      <c r="AB46" s="52">
        <f>IF(AB24=1,IF(AB37=1,1,0),0)</f>
        <v>0</v>
      </c>
      <c r="AC46" s="48">
        <f>IF(AC24=1,IF(AC37=1,1,0),0)</f>
        <v>0</v>
      </c>
      <c r="AE46" s="52">
        <f>IF(AE24=1,IF(AE37=1,1,0),0)</f>
        <v>0</v>
      </c>
      <c r="AF46" s="48">
        <f>SUM(B46:AE46)</f>
        <v>1</v>
      </c>
      <c r="AG46" s="48">
        <f>AF52-AF46</f>
        <v>2</v>
      </c>
    </row>
    <row r="47" spans="1:33" s="48" customFormat="1" ht="12.75" hidden="1" customHeight="1" x14ac:dyDescent="0.25">
      <c r="A47" s="48" t="s">
        <v>78</v>
      </c>
      <c r="B47" s="48">
        <f>IF(B24=2,IF(B37=1,1,0),0)</f>
        <v>1</v>
      </c>
      <c r="D47" s="52">
        <f>IF(D24=2,IF(D37=1,1,0),0)</f>
        <v>0</v>
      </c>
      <c r="E47" s="48">
        <f>IF(E24=2,IF(E37=1,1,0),0)</f>
        <v>0</v>
      </c>
      <c r="G47" s="52">
        <f>IF(G24=2,IF(G37=1,1,0),0)</f>
        <v>0</v>
      </c>
      <c r="H47" s="48">
        <f>IF(H24=2,IF(H37=1,1,0),0)</f>
        <v>1</v>
      </c>
      <c r="J47" s="52">
        <f>IF(J24=2,IF(J37=1,1,0),0)</f>
        <v>0</v>
      </c>
      <c r="K47" s="48">
        <f>IF(K24=2,IF(K37=1,1,0),0)</f>
        <v>0</v>
      </c>
      <c r="M47" s="52">
        <f>IF(M24=2,IF(M37=1,1,0),0)</f>
        <v>0</v>
      </c>
      <c r="N47" s="48">
        <f>IF(N24=2,IF(N37=1,1,0),0)</f>
        <v>0</v>
      </c>
      <c r="P47" s="52">
        <f>IF(P24=2,IF(P37=1,1,0),0)</f>
        <v>0</v>
      </c>
      <c r="Q47" s="48">
        <f>IF(Q24=2,IF(Q37=1,1,0),0)</f>
        <v>0</v>
      </c>
      <c r="S47" s="52">
        <f>IF(S24=2,IF(S37=1,1,0),0)</f>
        <v>1</v>
      </c>
      <c r="T47" s="48">
        <f>IF(T24=2,IF(T37=1,1,0),0)</f>
        <v>0</v>
      </c>
      <c r="V47" s="52">
        <f>IF(V24=2,IF(V37=1,1,0),0)</f>
        <v>0</v>
      </c>
      <c r="W47" s="48">
        <f>IF(W24=2,IF(W37=1,1,0),0)</f>
        <v>0</v>
      </c>
      <c r="Y47" s="52">
        <f>IF(Y24=2,IF(Y37=1,1,0),0)</f>
        <v>0</v>
      </c>
      <c r="Z47" s="48">
        <f>IF(Z24=2,IF(Z37=1,1,0),0)</f>
        <v>0</v>
      </c>
      <c r="AB47" s="52">
        <f>IF(AB24=2,IF(AB37=1,1,0),0)</f>
        <v>0</v>
      </c>
      <c r="AC47" s="48">
        <f>IF(AC24=2,IF(AC37=1,1,0),0)</f>
        <v>0</v>
      </c>
      <c r="AE47" s="52">
        <f>IF(AE24=2,IF(AE37=1,1,0),0)</f>
        <v>0</v>
      </c>
      <c r="AF47" s="48">
        <f>SUM(B47:AE47)</f>
        <v>3</v>
      </c>
      <c r="AG47" s="48">
        <f>AF53-AF47</f>
        <v>0</v>
      </c>
    </row>
    <row r="48" spans="1:33" s="48" customFormat="1" ht="12.75" hidden="1" customHeight="1" x14ac:dyDescent="0.25">
      <c r="A48" s="48" t="s">
        <v>79</v>
      </c>
      <c r="B48" s="48">
        <f>IF(B24=3,IF(B37=1,1,0),0)</f>
        <v>0</v>
      </c>
      <c r="D48" s="52">
        <f>IF(D24=3,IF(D37=1,1,0),0)</f>
        <v>0</v>
      </c>
      <c r="E48" s="48">
        <f>IF(E24=3,IF(E37=1,1,0),0)</f>
        <v>0</v>
      </c>
      <c r="G48" s="52">
        <f>IF(G24=3,IF(G37=1,1,0),0)</f>
        <v>0</v>
      </c>
      <c r="H48" s="48">
        <f>IF(H24=3,IF(H37=1,1,0),0)</f>
        <v>0</v>
      </c>
      <c r="J48" s="52">
        <f>IF(J24=3,IF(J37=1,1,0),0)</f>
        <v>0</v>
      </c>
      <c r="K48" s="48">
        <f>IF(K24=3,IF(K37=1,1,0),0)</f>
        <v>0</v>
      </c>
      <c r="M48" s="52">
        <f>IF(M24=3,IF(M37=1,1,0),0)</f>
        <v>0</v>
      </c>
      <c r="N48" s="48">
        <f>IF(N24=3,IF(N37=1,1,0),0)</f>
        <v>0</v>
      </c>
      <c r="P48" s="52">
        <f>IF(P24=3,IF(P37=1,1,0),0)</f>
        <v>0</v>
      </c>
      <c r="Q48" s="48">
        <f>IF(Q24=3,IF(Q37=1,1,0),0)</f>
        <v>0</v>
      </c>
      <c r="S48" s="52">
        <f>IF(S24=3,IF(S37=1,1,0),0)</f>
        <v>0</v>
      </c>
      <c r="T48" s="48">
        <f>IF(T24=3,IF(T37=1,1,0),0)</f>
        <v>0</v>
      </c>
      <c r="V48" s="52">
        <f>IF(V24=3,IF(V37=1,1,0),0)</f>
        <v>0</v>
      </c>
      <c r="W48" s="48">
        <f>IF(W24=3,IF(W37=1,1,0),0)</f>
        <v>0</v>
      </c>
      <c r="Y48" s="52">
        <f>IF(Y24=3,IF(Y37=1,1,0),0)</f>
        <v>0</v>
      </c>
      <c r="Z48" s="48">
        <f>IF(Z24=3,IF(Z37=1,1,0),0)</f>
        <v>0</v>
      </c>
      <c r="AB48" s="52">
        <f>IF(AB24=3,IF(AB37=1,1,0),0)</f>
        <v>0</v>
      </c>
      <c r="AC48" s="48">
        <f>IF(AC24=3,IF(AC37=1,1,0),0)</f>
        <v>0</v>
      </c>
      <c r="AE48" s="52">
        <f>IF(AE24=3,IF(AE37=1,1,0),0)</f>
        <v>0</v>
      </c>
      <c r="AF48" s="48">
        <f>SUM(B48:AE48)</f>
        <v>0</v>
      </c>
      <c r="AG48" s="48">
        <f>AF54-AF48</f>
        <v>3</v>
      </c>
    </row>
    <row r="49" spans="1:37" s="48" customFormat="1" ht="12.75" hidden="1" customHeight="1" x14ac:dyDescent="0.25">
      <c r="A49" s="48" t="s">
        <v>80</v>
      </c>
      <c r="B49" s="48">
        <f>IF(B24=4,IF(B37=1,1,0),0)</f>
        <v>0</v>
      </c>
      <c r="D49" s="52">
        <f>IF(D24=4,IF(D37=1,1,0),0)</f>
        <v>0</v>
      </c>
      <c r="E49" s="48">
        <f>IF(E24=4,IF(E37=1,1,0),0)</f>
        <v>0</v>
      </c>
      <c r="G49" s="52">
        <f>IF(G24=4,IF(G37=1,1,0),0)</f>
        <v>1</v>
      </c>
      <c r="H49" s="48">
        <f>IF(H24=4,IF(H37=1,1,0),0)</f>
        <v>0</v>
      </c>
      <c r="J49" s="52">
        <f>IF(J24=4,IF(J37=1,1,0),0)</f>
        <v>0</v>
      </c>
      <c r="K49" s="48">
        <f>IF(K24=4,IF(K37=1,1,0),0)</f>
        <v>0</v>
      </c>
      <c r="M49" s="52">
        <f>IF(M24=4,IF(M37=1,1,0),0)</f>
        <v>0</v>
      </c>
      <c r="N49" s="48">
        <f>IF(N24=4,IF(N37=1,1,0),0)</f>
        <v>0</v>
      </c>
      <c r="P49" s="52">
        <f>IF(P24=4,IF(P37=1,1,0),0)</f>
        <v>1</v>
      </c>
      <c r="Q49" s="48">
        <f>IF(Q24=4,IF(Q37=1,1,0),0)</f>
        <v>0</v>
      </c>
      <c r="S49" s="52">
        <f>IF(S24=4,IF(S37=1,1,0),0)</f>
        <v>0</v>
      </c>
      <c r="T49" s="48">
        <f>IF(T24=4,IF(T37=1,1,0),0)</f>
        <v>0</v>
      </c>
      <c r="V49" s="52">
        <f>IF(V24=4,IF(V37=1,1,0),0)</f>
        <v>0</v>
      </c>
      <c r="W49" s="48">
        <f>IF(W24=4,IF(W37=1,1,0),0)</f>
        <v>0</v>
      </c>
      <c r="Y49" s="52">
        <f>IF(Y24=4,IF(Y37=1,1,0),0)</f>
        <v>0</v>
      </c>
      <c r="Z49" s="48">
        <f>IF(Z24=4,IF(Z37=1,1,0),0)</f>
        <v>0</v>
      </c>
      <c r="AB49" s="52">
        <f>IF(AB24=4,IF(AB37=1,1,0),0)</f>
        <v>0</v>
      </c>
      <c r="AC49" s="48">
        <f>IF(AC24=4,IF(AC37=1,1,0),0)</f>
        <v>0</v>
      </c>
      <c r="AE49" s="52">
        <f>IF(AE24=4,IF(AE37=1,1,0),0)</f>
        <v>0</v>
      </c>
      <c r="AF49" s="48">
        <f>SUM(B49:AE49)</f>
        <v>2</v>
      </c>
      <c r="AG49" s="48">
        <f>AF55-AF49</f>
        <v>1</v>
      </c>
    </row>
    <row r="50" spans="1:37" s="48" customFormat="1" ht="12.75" hidden="1" customHeight="1" x14ac:dyDescent="0.25">
      <c r="A50" s="48" t="s">
        <v>81</v>
      </c>
      <c r="B50" s="48">
        <f>IF(B24=5,IF(B37=1,1,0),0)</f>
        <v>0</v>
      </c>
      <c r="D50" s="52">
        <f>IF(D24=5,IF(D37=1,1,0),0)</f>
        <v>0</v>
      </c>
      <c r="E50" s="48">
        <f>IF(E24=5,IF(E37=1,1,0),0)</f>
        <v>0</v>
      </c>
      <c r="G50" s="52">
        <f>IF(G24=5,IF(G37=1,1,0),0)</f>
        <v>0</v>
      </c>
      <c r="H50" s="48">
        <f>IF(H24=5,IF(H37=1,1,0),0)</f>
        <v>0</v>
      </c>
      <c r="J50" s="52">
        <f>IF(J24=5,IF(J37=1,1,0),0)</f>
        <v>0</v>
      </c>
      <c r="K50" s="48">
        <f>IF(K24=5,IF(K37=1,1,0),0)</f>
        <v>0</v>
      </c>
      <c r="M50" s="52">
        <f>IF(M24=5,IF(M37=1,1,0),0)</f>
        <v>0</v>
      </c>
      <c r="N50" s="48">
        <f>IF(N24=5,IF(N37=1,1,0),0)</f>
        <v>0</v>
      </c>
      <c r="P50" s="52">
        <f>IF(P24=5,IF(P37=1,1,0),0)</f>
        <v>0</v>
      </c>
      <c r="Q50" s="48">
        <f>IF(Q24=5,IF(Q37=1,1,0),0)</f>
        <v>0</v>
      </c>
      <c r="S50" s="52">
        <f>IF(S24=5,IF(S37=1,1,0),0)</f>
        <v>0</v>
      </c>
      <c r="T50" s="48">
        <f>IF(T24=5,IF(T37=1,1,0),0)</f>
        <v>0</v>
      </c>
      <c r="V50" s="52">
        <f>IF(V24=5,IF(V37=1,1,0),0)</f>
        <v>0</v>
      </c>
      <c r="W50" s="48">
        <f>IF(W24=5,IF(W37=1,1,0),0)</f>
        <v>0</v>
      </c>
      <c r="Y50" s="52">
        <f>IF(Y24=5,IF(Y37=1,1,0),0)</f>
        <v>0</v>
      </c>
      <c r="Z50" s="48">
        <f>IF(Z24=5,IF(Z37=1,1,0),0)</f>
        <v>0</v>
      </c>
      <c r="AB50" s="52">
        <f>IF(AB24=5,IF(AB37=1,1,0),0)</f>
        <v>0</v>
      </c>
      <c r="AC50" s="48">
        <f>IF(AC24=5,IF(AC37=1,1,0),0)</f>
        <v>0</v>
      </c>
      <c r="AE50" s="52">
        <f>IF(AE24=5,IF(AE37=1,1,0),0)</f>
        <v>0</v>
      </c>
      <c r="AF50" s="48">
        <f>SUM(B50:AE50)</f>
        <v>0</v>
      </c>
      <c r="AG50" s="48">
        <f>AF56-AF50</f>
        <v>0</v>
      </c>
    </row>
    <row r="51" spans="1:37" s="48" customFormat="1" ht="38.25" hidden="1" customHeight="1" x14ac:dyDescent="0.25">
      <c r="A51" s="51"/>
      <c r="D51" s="52"/>
      <c r="G51" s="52"/>
      <c r="J51" s="52"/>
      <c r="M51" s="52"/>
      <c r="P51" s="52"/>
      <c r="S51" s="52"/>
      <c r="V51" s="52"/>
      <c r="Y51" s="52"/>
      <c r="AB51" s="52"/>
      <c r="AE51" s="52"/>
      <c r="AF51" s="51" t="s">
        <v>82</v>
      </c>
    </row>
    <row r="52" spans="1:37" s="48" customFormat="1" ht="12.75" hidden="1" customHeight="1" x14ac:dyDescent="0.25">
      <c r="A52" s="48" t="s">
        <v>83</v>
      </c>
      <c r="B52" s="48">
        <f>IF(B24=1,IF(C37=1,1,0),0)</f>
        <v>0</v>
      </c>
      <c r="D52" s="52">
        <f>IF(D24=1,IF(C37=1,1,0),0)</f>
        <v>0</v>
      </c>
      <c r="E52" s="48">
        <f>IF(E24=1,IF(F37=1,1,0),0)</f>
        <v>1</v>
      </c>
      <c r="G52" s="52">
        <f>IF(G24=1,IF(F37=1,1,0),0)</f>
        <v>0</v>
      </c>
      <c r="H52" s="48">
        <f>IF(H24=1,IF(I37=1,1,0),0)</f>
        <v>0</v>
      </c>
      <c r="J52" s="52">
        <f>IF(J24=1,IF(I37=1,1,0),0)</f>
        <v>0</v>
      </c>
      <c r="K52" s="48">
        <f>IF(K24=1,IF(L37=1,1,0),0)</f>
        <v>1</v>
      </c>
      <c r="M52" s="52">
        <f>IF(M24=1,IF(L37=1,1,0),0)</f>
        <v>0</v>
      </c>
      <c r="N52" s="48">
        <f>IF(N24=1,IF(O37=1,1,0),0)</f>
        <v>0</v>
      </c>
      <c r="P52" s="52">
        <f>IF(P24=1,IF(O37=1,1,0),0)</f>
        <v>0</v>
      </c>
      <c r="Q52" s="48">
        <f>IF(Q24=1,IF(R37=1,1,0),0)</f>
        <v>1</v>
      </c>
      <c r="S52" s="52">
        <f>IF(S24=1,IF(R37=1,1,0),0)</f>
        <v>0</v>
      </c>
      <c r="T52" s="48">
        <f>IF(T24=1,IF(U37=1,1,0),0)</f>
        <v>0</v>
      </c>
      <c r="V52" s="52">
        <f>IF(V24=1,IF(U37=1,1,0),0)</f>
        <v>0</v>
      </c>
      <c r="W52" s="48">
        <f>IF(W24=1,IF(X37=1,1,0),0)</f>
        <v>0</v>
      </c>
      <c r="Y52" s="52">
        <f>IF(Y24=1,IF(X37=1,1,0),0)</f>
        <v>0</v>
      </c>
      <c r="Z52" s="48">
        <f>IF(Z24=1,IF(AA37=1,1,0),0)</f>
        <v>0</v>
      </c>
      <c r="AB52" s="52">
        <f>IF(AB24=1,IF(AA37=1,1,0),0)</f>
        <v>0</v>
      </c>
      <c r="AC52" s="48">
        <f>IF(AC24=1,IF(AD37=1,1,0),0)</f>
        <v>0</v>
      </c>
      <c r="AE52" s="52">
        <f>IF(AE24=1,IF(AD37=1,1,0),0)</f>
        <v>0</v>
      </c>
      <c r="AF52" s="48">
        <f>SUM(B52:AE52)</f>
        <v>3</v>
      </c>
    </row>
    <row r="53" spans="1:37" s="48" customFormat="1" ht="12.75" hidden="1" customHeight="1" x14ac:dyDescent="0.25">
      <c r="A53" s="48" t="s">
        <v>84</v>
      </c>
      <c r="B53" s="48">
        <f>IF(B24=2,IF(C37=1,1,0),0)</f>
        <v>1</v>
      </c>
      <c r="D53" s="52">
        <f>IF(D24=2,IF(C37=1,1,0),0)</f>
        <v>0</v>
      </c>
      <c r="E53" s="48">
        <f>IF(E24=2,IF(F37=1,1,0),0)</f>
        <v>0</v>
      </c>
      <c r="G53" s="52">
        <f>IF(G24=2,IF(F37=1,1,0),0)</f>
        <v>0</v>
      </c>
      <c r="H53" s="48">
        <f>IF(H24=2,IF(I37=1,1,0),0)</f>
        <v>1</v>
      </c>
      <c r="J53" s="52">
        <f>IF(J24=2,IF(I37=1,1,0),0)</f>
        <v>0</v>
      </c>
      <c r="K53" s="48">
        <f>IF(K24=2,IF(L37=1,1,0),0)</f>
        <v>0</v>
      </c>
      <c r="M53" s="52">
        <f>IF(M24=2,IF(L37=1,1,0),0)</f>
        <v>0</v>
      </c>
      <c r="N53" s="48">
        <f>IF(N24=2,IF(O37=1,1,0),0)</f>
        <v>0</v>
      </c>
      <c r="P53" s="52">
        <f>IF(P24=2,IF(O37=1,1,0),0)</f>
        <v>0</v>
      </c>
      <c r="Q53" s="48">
        <f>IF(Q24=2,IF(R37=1,1,0),0)</f>
        <v>0</v>
      </c>
      <c r="S53" s="52">
        <f>IF(S24=2,IF(R37=1,1,0),0)</f>
        <v>1</v>
      </c>
      <c r="T53" s="48">
        <f>IF(T24=2,IF(U37=1,1,0),0)</f>
        <v>0</v>
      </c>
      <c r="V53" s="52">
        <f>IF(V24=2,IF(U37=1,1,0),0)</f>
        <v>0</v>
      </c>
      <c r="W53" s="48">
        <f>IF(W24=2,IF(X37=1,1,0),0)</f>
        <v>0</v>
      </c>
      <c r="Y53" s="52">
        <f>IF(Y24=2,IF(X37=1,1,0),0)</f>
        <v>0</v>
      </c>
      <c r="Z53" s="48">
        <f>IF(Z24=2,IF(AA37=1,1,0),0)</f>
        <v>0</v>
      </c>
      <c r="AB53" s="52">
        <f>IF(AB24=2,IF(AA37=1,1,0),0)</f>
        <v>0</v>
      </c>
      <c r="AC53" s="48">
        <f>IF(AC24=2,IF(AD37=1,1,0),0)</f>
        <v>0</v>
      </c>
      <c r="AE53" s="52">
        <f>IF(AE24=2,IF(AD37=1,1,0),0)</f>
        <v>0</v>
      </c>
      <c r="AF53" s="48">
        <f>SUM(B53:AE53)</f>
        <v>3</v>
      </c>
    </row>
    <row r="54" spans="1:37" s="48" customFormat="1" ht="12.75" hidden="1" customHeight="1" x14ac:dyDescent="0.25">
      <c r="A54" s="48" t="s">
        <v>85</v>
      </c>
      <c r="B54" s="48">
        <f>IF(B24=3,IF(C37=1,1,0),0)</f>
        <v>0</v>
      </c>
      <c r="D54" s="52">
        <f>IF(D24=3,IF(C37=1,1,0),0)</f>
        <v>1</v>
      </c>
      <c r="E54" s="48">
        <f>IF(E24=3,IF(F37=1,1,0),0)</f>
        <v>0</v>
      </c>
      <c r="G54" s="52">
        <f>IF(G24=3,IF(F37=1,1,0),0)</f>
        <v>0</v>
      </c>
      <c r="H54" s="48">
        <f>IF(H24=3,IF(I37=1,1,0),0)</f>
        <v>0</v>
      </c>
      <c r="J54" s="52">
        <f>IF(J24=3,IF(I37=1,1,0),0)</f>
        <v>0</v>
      </c>
      <c r="K54" s="48">
        <f>IF(K24=3,IF(L37=1,1,0),0)</f>
        <v>0</v>
      </c>
      <c r="M54" s="52">
        <f>IF(M24=3,IF(L37=1,1,0),0)</f>
        <v>1</v>
      </c>
      <c r="N54" s="48">
        <f>IF(N24=3,IF(O37=1,1,0),0)</f>
        <v>1</v>
      </c>
      <c r="P54" s="52">
        <f>IF(P24=3,IF(O37=1,1,0),0)</f>
        <v>0</v>
      </c>
      <c r="Q54" s="48">
        <f>IF(Q24=3,IF(R37=1,1,0),0)</f>
        <v>0</v>
      </c>
      <c r="S54" s="52">
        <f>IF(S24=3,IF(R37=1,1,0),0)</f>
        <v>0</v>
      </c>
      <c r="T54" s="48">
        <f>IF(T24=3,IF(U37=1,1,0),0)</f>
        <v>0</v>
      </c>
      <c r="V54" s="52">
        <f>IF(V24=3,IF(U37=1,1,0),0)</f>
        <v>0</v>
      </c>
      <c r="W54" s="48">
        <f>IF(W24=3,IF(X37=1,1,0),0)</f>
        <v>0</v>
      </c>
      <c r="Y54" s="52">
        <f>IF(Y24=3,IF(X37=1,1,0),0)</f>
        <v>0</v>
      </c>
      <c r="Z54" s="48">
        <f>IF(Z24=3,IF(AA37=1,1,0),0)</f>
        <v>0</v>
      </c>
      <c r="AB54" s="52">
        <f>IF(AB24=3,IF(AA37=1,1,0),0)</f>
        <v>0</v>
      </c>
      <c r="AC54" s="48">
        <f>IF(AC24=3,IF(AD37=1,1,0),0)</f>
        <v>0</v>
      </c>
      <c r="AE54" s="52">
        <f>IF(AE24=3,IF(AD37=1,1,0),0)</f>
        <v>0</v>
      </c>
      <c r="AF54" s="48">
        <f>SUM(B54:AE54)</f>
        <v>3</v>
      </c>
    </row>
    <row r="55" spans="1:37" s="48" customFormat="1" ht="12.75" hidden="1" customHeight="1" x14ac:dyDescent="0.25">
      <c r="A55" s="48" t="s">
        <v>86</v>
      </c>
      <c r="B55" s="48">
        <f>IF(B24=4,IF(C37=1,1,0),0)</f>
        <v>0</v>
      </c>
      <c r="D55" s="52">
        <f>IF(D24=4,IF(C37=1,1,0),0)</f>
        <v>0</v>
      </c>
      <c r="E55" s="48">
        <f>IF(E24=4,IF(F37=1,1,0),0)</f>
        <v>0</v>
      </c>
      <c r="G55" s="52">
        <f>IF(G24=4,IF(F37=1,1,0),0)</f>
        <v>1</v>
      </c>
      <c r="H55" s="48">
        <f>IF(H24=4,IF(I37=1,1,0),0)</f>
        <v>0</v>
      </c>
      <c r="J55" s="52">
        <f>IF(J24=4,IF(I37=1,1,0),0)</f>
        <v>1</v>
      </c>
      <c r="K55" s="48">
        <f>IF(K24=4,IF(L37=1,1,0),0)</f>
        <v>0</v>
      </c>
      <c r="M55" s="52">
        <f>IF(M24=4,IF(L37=1,1,0),0)</f>
        <v>0</v>
      </c>
      <c r="N55" s="48">
        <f>IF(N24=4,IF(O37=1,1,0),0)</f>
        <v>0</v>
      </c>
      <c r="P55" s="52">
        <f>IF(P24=4,IF(O37=1,1,0),0)</f>
        <v>1</v>
      </c>
      <c r="Q55" s="48">
        <f>IF(Q24=4,IF(R37=1,1,0),0)</f>
        <v>0</v>
      </c>
      <c r="S55" s="52">
        <f>IF(S24=4,IF(R37=1,1,0),0)</f>
        <v>0</v>
      </c>
      <c r="T55" s="48">
        <f>IF(T24=4,IF(U37=1,1,0),0)</f>
        <v>0</v>
      </c>
      <c r="V55" s="52">
        <f>IF(V24=4,IF(U37=1,1,0),0)</f>
        <v>0</v>
      </c>
      <c r="W55" s="48">
        <f>IF(W24=4,IF(X37=1,1,0),0)</f>
        <v>0</v>
      </c>
      <c r="Y55" s="52">
        <f>IF(Y24=4,IF(X37=1,1,0),0)</f>
        <v>0</v>
      </c>
      <c r="Z55" s="48">
        <f>IF(Z24=4,IF(AA37=1,1,0),0)</f>
        <v>0</v>
      </c>
      <c r="AB55" s="52">
        <f>IF(AB24=4,IF(AA37=1,1,0),0)</f>
        <v>0</v>
      </c>
      <c r="AC55" s="48">
        <f>IF(AC24=4,IF(AD37=1,1,0),0)</f>
        <v>0</v>
      </c>
      <c r="AE55" s="52">
        <f>IF(AE24=4,IF(AD37=1,1,0),0)</f>
        <v>0</v>
      </c>
      <c r="AF55" s="48">
        <f>SUM(B55:AE55)</f>
        <v>3</v>
      </c>
    </row>
    <row r="56" spans="1:37" s="48" customFormat="1" ht="12.75" hidden="1" customHeight="1" x14ac:dyDescent="0.25">
      <c r="A56" s="48" t="s">
        <v>87</v>
      </c>
      <c r="B56" s="48">
        <f>IF(B24=5,IF(C37=1,1,0),0)</f>
        <v>0</v>
      </c>
      <c r="D56" s="52">
        <f>IF(D24=5,IF(C37=1,1,0),0)</f>
        <v>0</v>
      </c>
      <c r="E56" s="48">
        <f>IF(E24=5,IF(F37=1,1,0),0)</f>
        <v>0</v>
      </c>
      <c r="G56" s="52">
        <f>IF(G24=5,IF(F37=1,1,0),0)</f>
        <v>0</v>
      </c>
      <c r="H56" s="48">
        <f>IF(H24=5,IF(I37=1,1,0),0)</f>
        <v>0</v>
      </c>
      <c r="J56" s="52">
        <f>IF(J24=5,IF(I37=1,1,0),0)</f>
        <v>0</v>
      </c>
      <c r="K56" s="48">
        <f>IF(K24=5,IF(L37=1,1,0),0)</f>
        <v>0</v>
      </c>
      <c r="M56" s="52">
        <f>IF(M24=5,IF(L37=1,1,0),0)</f>
        <v>0</v>
      </c>
      <c r="N56" s="48">
        <f>IF(N24=5,IF(O37=1,1,0),0)</f>
        <v>0</v>
      </c>
      <c r="P56" s="52">
        <f>IF(P24=5,IF(O37=1,1,0),0)</f>
        <v>0</v>
      </c>
      <c r="Q56" s="48">
        <f>IF(Q24=5,IF(R37=1,1,0),0)</f>
        <v>0</v>
      </c>
      <c r="S56" s="52">
        <f>IF(S24=5,IF(R37=1,1,0),0)</f>
        <v>0</v>
      </c>
      <c r="T56" s="48">
        <f>IF(T24=5,IF(U37=1,1,0),0)</f>
        <v>0</v>
      </c>
      <c r="V56" s="52">
        <f>IF(V24=5,IF(U37=1,1,0),0)</f>
        <v>0</v>
      </c>
      <c r="W56" s="48">
        <f>IF(W24=5,IF(X37=1,1,0),0)</f>
        <v>0</v>
      </c>
      <c r="Y56" s="52">
        <f>IF(Y24=5,IF(X37=1,1,0),0)</f>
        <v>0</v>
      </c>
      <c r="Z56" s="48">
        <f>IF(Z24=5,IF(AA37=1,1,0),0)</f>
        <v>0</v>
      </c>
      <c r="AB56" s="52">
        <f>IF(AB24=5,IF(AA37=1,1,0),0)</f>
        <v>0</v>
      </c>
      <c r="AC56" s="48">
        <f>IF(AC24=5,IF(AD37=1,1,0),0)</f>
        <v>0</v>
      </c>
      <c r="AE56" s="52">
        <f>IF(AE24=5,IF(AD37=1,1,0),0)</f>
        <v>0</v>
      </c>
      <c r="AF56" s="48">
        <f>SUM(B56:AE56)</f>
        <v>0</v>
      </c>
    </row>
    <row r="57" spans="1:37" s="48" customFormat="1" ht="38.25" hidden="1" customHeight="1" x14ac:dyDescent="0.25">
      <c r="A57" s="51"/>
      <c r="D57" s="52"/>
      <c r="G57" s="52"/>
      <c r="J57" s="52"/>
      <c r="M57" s="52"/>
      <c r="P57" s="52"/>
      <c r="S57" s="52"/>
      <c r="V57" s="52"/>
      <c r="Y57" s="52"/>
      <c r="AB57" s="52"/>
      <c r="AE57" s="52"/>
      <c r="AF57" s="51" t="s">
        <v>88</v>
      </c>
      <c r="AG57" s="150"/>
      <c r="AH57" s="150"/>
      <c r="AI57" s="150"/>
      <c r="AJ57" s="150"/>
      <c r="AK57" s="150"/>
    </row>
    <row r="58" spans="1:37" s="48" customFormat="1" ht="12.75" hidden="1" customHeight="1" x14ac:dyDescent="0.25">
      <c r="A58" s="48" t="s">
        <v>83</v>
      </c>
      <c r="B58" s="48">
        <f>IF(B24=1,B44,0)</f>
        <v>0</v>
      </c>
      <c r="D58" s="52">
        <f>IF(D24=1,B44,0)</f>
        <v>0</v>
      </c>
      <c r="E58" s="48">
        <f>IF(E24=1,E44,0)</f>
        <v>31</v>
      </c>
      <c r="G58" s="52">
        <f>IF(G24=1,E44,0)</f>
        <v>0</v>
      </c>
      <c r="H58" s="48">
        <f>IF(H24=1,H44,0)</f>
        <v>0</v>
      </c>
      <c r="J58" s="52">
        <f>IF(J24=1,H44,0)</f>
        <v>0</v>
      </c>
      <c r="K58" s="48">
        <f>IF(K24=1,K44,0)</f>
        <v>31</v>
      </c>
      <c r="M58" s="52">
        <f>IF(M24=1,K44,0)</f>
        <v>0</v>
      </c>
      <c r="N58" s="48">
        <f>IF(N24=1,N44,0)</f>
        <v>0</v>
      </c>
      <c r="P58" s="52">
        <f>IF(P24=1,N44,0)</f>
        <v>0</v>
      </c>
      <c r="Q58" s="48">
        <f>IF(Q24=1,Q44,0)</f>
        <v>23</v>
      </c>
      <c r="S58" s="52">
        <f>IF(S24=1,Q44,0)</f>
        <v>0</v>
      </c>
      <c r="T58" s="48">
        <f>IF(T24=1,T44,0)</f>
        <v>0</v>
      </c>
      <c r="V58" s="52">
        <f>IF(V24=1,T44,0)</f>
        <v>0</v>
      </c>
      <c r="W58" s="48">
        <f>IF(W24=1,W44,0)</f>
        <v>0</v>
      </c>
      <c r="Y58" s="52">
        <f>IF(Y24=1,W44,0)</f>
        <v>0</v>
      </c>
      <c r="Z58" s="48">
        <f>IF(Z24=1,Z44,0)</f>
        <v>0</v>
      </c>
      <c r="AB58" s="52">
        <f>IF(AB24=1,Z44,0)</f>
        <v>0</v>
      </c>
      <c r="AC58" s="48">
        <f>IF(AC24=1,AC44,0)</f>
        <v>0</v>
      </c>
      <c r="AE58" s="52">
        <f>IF(AE24=1,AC44,0)</f>
        <v>0</v>
      </c>
      <c r="AF58" s="48">
        <f>SUM(B58:AE58)</f>
        <v>85</v>
      </c>
    </row>
    <row r="59" spans="1:37" s="48" customFormat="1" ht="12.75" hidden="1" customHeight="1" x14ac:dyDescent="0.25">
      <c r="A59" s="48" t="s">
        <v>84</v>
      </c>
      <c r="B59" s="48">
        <f>IF(B24=2,B44,0)</f>
        <v>24</v>
      </c>
      <c r="D59" s="52">
        <f>IF(D24=2,B44,0)</f>
        <v>0</v>
      </c>
      <c r="E59" s="48">
        <f>IF(E24=2,E44,0)</f>
        <v>0</v>
      </c>
      <c r="G59" s="52">
        <f>IF(G24=2,E44,0)</f>
        <v>0</v>
      </c>
      <c r="H59" s="48">
        <f>IF(H24=2,H44,0)</f>
        <v>26</v>
      </c>
      <c r="J59" s="52">
        <f>IF(J24=2,H44,0)</f>
        <v>0</v>
      </c>
      <c r="K59" s="48">
        <f>IF(K24=2,K44,0)</f>
        <v>0</v>
      </c>
      <c r="M59" s="52">
        <f>IF(M24=2,K44,0)</f>
        <v>0</v>
      </c>
      <c r="N59" s="48">
        <f>IF(N24=2,N44,0)</f>
        <v>0</v>
      </c>
      <c r="P59" s="52">
        <f>IF(P24=2,N44,0)</f>
        <v>0</v>
      </c>
      <c r="Q59" s="48">
        <f>IF(Q24=2,Q44,0)</f>
        <v>0</v>
      </c>
      <c r="S59" s="52">
        <f>IF(S24=2,Q44,0)</f>
        <v>23</v>
      </c>
      <c r="T59" s="48">
        <f>IF(T24=2,T44,0)</f>
        <v>0</v>
      </c>
      <c r="V59" s="52">
        <f>IF(V24=2,T44,0)</f>
        <v>0</v>
      </c>
      <c r="W59" s="48">
        <f>IF(W24=2,W44,0)</f>
        <v>0</v>
      </c>
      <c r="Y59" s="52">
        <f>IF(Y24=2,W44,0)</f>
        <v>0</v>
      </c>
      <c r="Z59" s="48">
        <f>IF(Z24=2,Z44,0)</f>
        <v>0</v>
      </c>
      <c r="AB59" s="52">
        <f>IF(AB24=2,Z44,0)</f>
        <v>0</v>
      </c>
      <c r="AC59" s="48">
        <f>IF(AC24=2,AC44,0)</f>
        <v>0</v>
      </c>
      <c r="AE59" s="52">
        <f>IF(AE24=2,AC44,0)</f>
        <v>0</v>
      </c>
      <c r="AF59" s="48">
        <f>SUM(B59:AE59)</f>
        <v>73</v>
      </c>
    </row>
    <row r="60" spans="1:37" s="48" customFormat="1" ht="12.75" hidden="1" customHeight="1" x14ac:dyDescent="0.25">
      <c r="A60" s="48" t="s">
        <v>85</v>
      </c>
      <c r="B60" s="48">
        <f>IF(B24=3,B44,0)</f>
        <v>0</v>
      </c>
      <c r="D60" s="52">
        <f>IF(D24=3,B44,0)</f>
        <v>24</v>
      </c>
      <c r="E60" s="48">
        <f>IF(E24=3,E44,0)</f>
        <v>0</v>
      </c>
      <c r="G60" s="52">
        <f>IF(G24=3,E44,0)</f>
        <v>0</v>
      </c>
      <c r="H60" s="48">
        <f>IF(H24=3,H44,0)</f>
        <v>0</v>
      </c>
      <c r="J60" s="52">
        <f>IF(J24=3,H44,0)</f>
        <v>0</v>
      </c>
      <c r="K60" s="48">
        <f>IF(K24=3,K44,0)</f>
        <v>0</v>
      </c>
      <c r="M60" s="52">
        <f>IF(M24=3,K44,0)</f>
        <v>31</v>
      </c>
      <c r="N60" s="48">
        <f>IF(N24=3,N44,0)</f>
        <v>31</v>
      </c>
      <c r="P60" s="52">
        <f>IF(P24=3,N44,0)</f>
        <v>0</v>
      </c>
      <c r="Q60" s="48">
        <f>IF(Q24=3,Q44,0)</f>
        <v>0</v>
      </c>
      <c r="S60" s="52">
        <f>IF(S24=3,Q44,0)</f>
        <v>0</v>
      </c>
      <c r="T60" s="48">
        <f>IF(T24=3,T44,0)</f>
        <v>0</v>
      </c>
      <c r="V60" s="52">
        <f>IF(V24=3,T44,0)</f>
        <v>0</v>
      </c>
      <c r="W60" s="48">
        <f>IF(W24=3,W44,0)</f>
        <v>0</v>
      </c>
      <c r="Y60" s="52">
        <f>IF(Y24=3,W44,0)</f>
        <v>0</v>
      </c>
      <c r="Z60" s="48">
        <f>IF(Z24=3,Z44,0)</f>
        <v>0</v>
      </c>
      <c r="AB60" s="52">
        <f>IF(AB24=3,Z44,0)</f>
        <v>0</v>
      </c>
      <c r="AC60" s="48">
        <f>IF(AC24=3,AC44,0)</f>
        <v>0</v>
      </c>
      <c r="AE60" s="52">
        <f>IF(AE24=3,AC44,0)</f>
        <v>0</v>
      </c>
      <c r="AF60" s="48">
        <f>SUM(B60:AE60)</f>
        <v>86</v>
      </c>
    </row>
    <row r="61" spans="1:37" s="48" customFormat="1" ht="12.75" hidden="1" customHeight="1" x14ac:dyDescent="0.25">
      <c r="A61" s="48" t="s">
        <v>86</v>
      </c>
      <c r="B61" s="48">
        <f>IF(B24=4,B44,0)</f>
        <v>0</v>
      </c>
      <c r="D61" s="52">
        <f>IF(D24=4,B44,0)</f>
        <v>0</v>
      </c>
      <c r="E61" s="48">
        <f>IF(E24=4,E44,0)</f>
        <v>0</v>
      </c>
      <c r="G61" s="52">
        <f>IF(G24=4,E44,0)</f>
        <v>31</v>
      </c>
      <c r="H61" s="48">
        <f>IF(H24=4,H44,0)</f>
        <v>0</v>
      </c>
      <c r="J61" s="52">
        <f>IF(J24=4,H44,0)</f>
        <v>26</v>
      </c>
      <c r="K61" s="48">
        <f>IF(K24=4,K44,0)</f>
        <v>0</v>
      </c>
      <c r="M61" s="52">
        <f>IF(M24=4,K44,0)</f>
        <v>0</v>
      </c>
      <c r="N61" s="48">
        <f>IF(N24=4,N44,0)</f>
        <v>0</v>
      </c>
      <c r="P61" s="52">
        <f>IF(P24=4,N44,0)</f>
        <v>31</v>
      </c>
      <c r="Q61" s="48">
        <f>IF(Q24=4,Q44,0)</f>
        <v>0</v>
      </c>
      <c r="S61" s="52">
        <f>IF(S24=4,Q44,0)</f>
        <v>0</v>
      </c>
      <c r="T61" s="48">
        <f>IF(T24=4,T44,0)</f>
        <v>0</v>
      </c>
      <c r="V61" s="52">
        <f>IF(V24=4,T44,0)</f>
        <v>0</v>
      </c>
      <c r="W61" s="48">
        <f>IF(W24=4,W44,0)</f>
        <v>0</v>
      </c>
      <c r="Y61" s="52">
        <f>IF(Y24=4,W44,0)</f>
        <v>0</v>
      </c>
      <c r="Z61" s="48">
        <f>IF(Z24=4,Z44,0)</f>
        <v>0</v>
      </c>
      <c r="AB61" s="52">
        <f>IF(AB24=4,Z44,0)</f>
        <v>0</v>
      </c>
      <c r="AC61" s="48">
        <f>IF(AC24=4,AC44,0)</f>
        <v>0</v>
      </c>
      <c r="AE61" s="52">
        <f>IF(AE24=4,AC44,0)</f>
        <v>0</v>
      </c>
      <c r="AF61" s="48">
        <f>SUM(B61:AE61)</f>
        <v>88</v>
      </c>
    </row>
    <row r="62" spans="1:37" s="48" customFormat="1" ht="12.75" hidden="1" customHeight="1" x14ac:dyDescent="0.25">
      <c r="A62" s="48" t="s">
        <v>87</v>
      </c>
      <c r="B62" s="48">
        <f>IF(B24=5,B44,0)</f>
        <v>0</v>
      </c>
      <c r="D62" s="52">
        <f>IF(D24=5,B44,0)</f>
        <v>0</v>
      </c>
      <c r="E62" s="48">
        <f>IF(E24=5,E44,0)</f>
        <v>0</v>
      </c>
      <c r="G62" s="52">
        <f>IF(G24=5,E44,0)</f>
        <v>0</v>
      </c>
      <c r="H62" s="48">
        <f>IF(H24=5,H44,0)</f>
        <v>0</v>
      </c>
      <c r="J62" s="52">
        <f>IF(J24=5,H44,0)</f>
        <v>0</v>
      </c>
      <c r="K62" s="48">
        <f>IF(K24=5,K44,0)</f>
        <v>0</v>
      </c>
      <c r="M62" s="52">
        <f>IF(M24=5,K44,0)</f>
        <v>0</v>
      </c>
      <c r="N62" s="48">
        <f>IF(N24=5,N44,0)</f>
        <v>0</v>
      </c>
      <c r="P62" s="52">
        <f>IF(P24=5,N44,0)</f>
        <v>0</v>
      </c>
      <c r="Q62" s="48">
        <f>IF(Q24=5,Q44,0)</f>
        <v>0</v>
      </c>
      <c r="S62" s="52">
        <f>IF(S24=5,Q44,0)</f>
        <v>0</v>
      </c>
      <c r="T62" s="48">
        <f>IF(T24=5,T44,0)</f>
        <v>0</v>
      </c>
      <c r="V62" s="52">
        <f>IF(V24=5,T44,0)</f>
        <v>0</v>
      </c>
      <c r="W62" s="48">
        <f>IF(W24=5,W44,0)</f>
        <v>0</v>
      </c>
      <c r="Y62" s="52">
        <f>IF(Y24=5,W44,0)</f>
        <v>0</v>
      </c>
      <c r="Z62" s="48">
        <f>IF(Z24=5,Z44,0)</f>
        <v>0</v>
      </c>
      <c r="AB62" s="52">
        <f>IF(AB24=5,Z44,0)</f>
        <v>0</v>
      </c>
      <c r="AC62" s="48">
        <f>IF(AC24=5,AC44,0)</f>
        <v>0</v>
      </c>
      <c r="AE62" s="52">
        <f>IF(AE24=5,AC44,0)</f>
        <v>0</v>
      </c>
      <c r="AF62" s="48">
        <f>SUM(B62:AE62)</f>
        <v>0</v>
      </c>
    </row>
    <row r="63" spans="1:37" s="48" customFormat="1" ht="38.25" hidden="1" customHeight="1" x14ac:dyDescent="0.25">
      <c r="A63" s="48" t="s">
        <v>89</v>
      </c>
      <c r="D63" s="52"/>
      <c r="G63" s="52"/>
      <c r="J63" s="52"/>
      <c r="M63" s="52"/>
      <c r="P63" s="52"/>
      <c r="S63" s="52"/>
      <c r="V63" s="52"/>
      <c r="Y63" s="52"/>
      <c r="AB63" s="52"/>
      <c r="AE63" s="52"/>
      <c r="AF63" s="51" t="s">
        <v>90</v>
      </c>
      <c r="AG63" s="48" t="s">
        <v>91</v>
      </c>
    </row>
    <row r="64" spans="1:37" s="48" customFormat="1" ht="12.75" hidden="1" customHeight="1" x14ac:dyDescent="0.25">
      <c r="A64" s="48" t="s">
        <v>77</v>
      </c>
      <c r="B64" s="48">
        <f>IF(B24=1,SUMIF(B31:B35,"&gt;0"),0)</f>
        <v>0</v>
      </c>
      <c r="D64" s="52">
        <f>IF(D24=1,SUMIF(D31:D35,"&gt;0"),0)</f>
        <v>0</v>
      </c>
      <c r="E64" s="48">
        <f>IF(E24=1,SUMIF(E31:E35,"&gt;0"),0)</f>
        <v>0</v>
      </c>
      <c r="G64" s="52">
        <f>IF(G24=1,SUMIF(G31:G35,"&gt;0"),0)</f>
        <v>0</v>
      </c>
      <c r="H64" s="48">
        <f>IF(H24=1,SUMIF(H31:H35,"&gt;0"),0)</f>
        <v>0</v>
      </c>
      <c r="J64" s="52">
        <f>IF(J24=1,SUMIF(J31:J35,"&gt;0"),0)</f>
        <v>0</v>
      </c>
      <c r="K64" s="48">
        <f>IF(K24=1,SUMIF(K31:K35,"&gt;0"),0)</f>
        <v>1</v>
      </c>
      <c r="M64" s="52">
        <f>IF(M24=1,SUMIF(M31:M35,"&gt;0"),0)</f>
        <v>0</v>
      </c>
      <c r="N64" s="48">
        <f>IF(N24=1,SUMIF(N31:N35,"&gt;0"),0)</f>
        <v>0</v>
      </c>
      <c r="P64" s="52">
        <f>IF(P24=1,SUMIF(P31:P35,"&gt;0"),0)</f>
        <v>0</v>
      </c>
      <c r="Q64" s="48">
        <f>IF(Q24=1,SUMIF(Q31:Q35,"&gt;0"),0)</f>
        <v>0</v>
      </c>
      <c r="S64" s="52">
        <f>IF(S24=1,SUMIF(S31:S35,"&gt;0"),0)</f>
        <v>0</v>
      </c>
      <c r="T64" s="48">
        <f>IF(T24=1,SUMIF(T31:T35,"&gt;0"),0)</f>
        <v>0</v>
      </c>
      <c r="V64" s="52">
        <f>IF(V24=1,SUMIF(V31:V35,"&gt;0"),0)</f>
        <v>0</v>
      </c>
      <c r="W64" s="48">
        <f>IF(W24=1,SUMIF(W31:W35,"&gt;0"),0)</f>
        <v>0</v>
      </c>
      <c r="Y64" s="52">
        <f>IF(Y24=1,SUMIF(Y31:Y35,"&gt;0"),0)</f>
        <v>0</v>
      </c>
      <c r="Z64" s="48">
        <f>IF(Z24=1,SUMIF(Z31:Z35,"&gt;0"),0)</f>
        <v>0</v>
      </c>
      <c r="AB64" s="52">
        <f>IF(AB24=1,SUMIF(AB31:AB35,"&gt;0"),0)</f>
        <v>0</v>
      </c>
      <c r="AC64" s="48">
        <f>IF(AC24=1,SUMIF(AC31:AC35,"&gt;0"),0)</f>
        <v>0</v>
      </c>
      <c r="AE64" s="52">
        <f>IF(AE24=1,SUMIF(AE31:AE35,"&gt;0"),0)</f>
        <v>0</v>
      </c>
      <c r="AF64" s="48">
        <f>SUM(B64:AE64)</f>
        <v>1</v>
      </c>
      <c r="AG64" s="48">
        <f>AF72-AF64</f>
        <v>2</v>
      </c>
    </row>
    <row r="65" spans="1:49" s="48" customFormat="1" ht="12.75" hidden="1" customHeight="1" x14ac:dyDescent="0.25">
      <c r="A65" s="48" t="s">
        <v>78</v>
      </c>
      <c r="B65" s="48">
        <f>IF(B24=2,SUMIF(B31:B35,"&gt;0"),0)</f>
        <v>1</v>
      </c>
      <c r="D65" s="52">
        <f>IF(D24=2,SUMIF(D31:D35,"&gt;0"),0)</f>
        <v>0</v>
      </c>
      <c r="E65" s="48">
        <f>IF(E24=2,SUMIF(E31:E35,"&gt;0"),0)</f>
        <v>0</v>
      </c>
      <c r="G65" s="52">
        <f>IF(G24=2,SUMIF(G31:G35,"&gt;0"),0)</f>
        <v>0</v>
      </c>
      <c r="H65" s="48">
        <f>IF(H24=2,SUMIF(H31:H35,"&gt;0"),0)</f>
        <v>1</v>
      </c>
      <c r="J65" s="52">
        <f>IF(J24=2,SUMIF(J31:J35,"&gt;0"),0)</f>
        <v>0</v>
      </c>
      <c r="K65" s="48">
        <f>IF(K24=2,SUMIF(K31:K35,"&gt;0"),0)</f>
        <v>0</v>
      </c>
      <c r="M65" s="52">
        <f>IF(M24=2,SUMIF(M31:M35,"&gt;0"),0)</f>
        <v>0</v>
      </c>
      <c r="N65" s="48">
        <f>IF(N24=2,SUMIF(N31:N35,"&gt;0"),0)</f>
        <v>0</v>
      </c>
      <c r="P65" s="52">
        <f>IF(P24=2,SUMIF(P31:P35,"&gt;0"),0)</f>
        <v>0</v>
      </c>
      <c r="Q65" s="48">
        <f>IF(Q24=2,SUMIF(Q31:Q35,"&gt;0"),0)</f>
        <v>0</v>
      </c>
      <c r="S65" s="52">
        <f>IF(S24=2,SUMIF(S31:S35,"&gt;0"),0)</f>
        <v>1</v>
      </c>
      <c r="T65" s="48">
        <f>IF(T24=2,SUMIF(T31:T35,"&gt;0"),0)</f>
        <v>0</v>
      </c>
      <c r="V65" s="52">
        <f>IF(V24=2,SUMIF(V31:V35,"&gt;0"),0)</f>
        <v>0</v>
      </c>
      <c r="W65" s="48">
        <f>IF(W24=2,SUMIF(W31:W35,"&gt;0"),0)</f>
        <v>0</v>
      </c>
      <c r="Y65" s="52">
        <f>IF(Y24=2,SUMIF(Y31:Y35,"&gt;0"),0)</f>
        <v>0</v>
      </c>
      <c r="Z65" s="48">
        <f>IF(Z24=2,SUMIF(Z31:Z35,"&gt;0"),0)</f>
        <v>0</v>
      </c>
      <c r="AB65" s="52">
        <f>IF(AB24=2,SUMIF(AB31:AB35,"&gt;0"),0)</f>
        <v>0</v>
      </c>
      <c r="AC65" s="48">
        <f>IF(AC24=2,SUMIF(AC31:AC35,"&gt;0"),0)</f>
        <v>0</v>
      </c>
      <c r="AE65" s="52">
        <f>IF(AE24=2,SUMIF(AE31:AE35,"&gt;0"),0)</f>
        <v>0</v>
      </c>
      <c r="AF65" s="48">
        <f>SUM(B65:AE65)</f>
        <v>3</v>
      </c>
      <c r="AG65" s="48">
        <f>AF73-AF65</f>
        <v>0</v>
      </c>
    </row>
    <row r="66" spans="1:49" s="48" customFormat="1" ht="12.75" hidden="1" customHeight="1" x14ac:dyDescent="0.25">
      <c r="A66" s="48" t="s">
        <v>79</v>
      </c>
      <c r="B66" s="48">
        <f>IF(B24=3,SUMIF(B31:B35,"&gt;0"),0)</f>
        <v>0</v>
      </c>
      <c r="D66" s="52">
        <f>IF(D24=3,SUMIF(D31:D35,"&gt;0"),0)</f>
        <v>0</v>
      </c>
      <c r="E66" s="48">
        <f>IF(E24=3,SUMIF(E31:E35,"&gt;0"),0)</f>
        <v>0</v>
      </c>
      <c r="G66" s="52">
        <f>IF(G24=3,SUMIF(G31:G35,"&gt;0"),0)</f>
        <v>0</v>
      </c>
      <c r="H66" s="48">
        <f>IF(H24=3,SUMIF(H31:H35,"&gt;0"),0)</f>
        <v>0</v>
      </c>
      <c r="J66" s="52">
        <f>IF(J24=3,SUMIF(J31:J35,"&gt;0"),0)</f>
        <v>0</v>
      </c>
      <c r="K66" s="48">
        <f>IF(K24=3,SUMIF(K31:K35,"&gt;0"),0)</f>
        <v>0</v>
      </c>
      <c r="M66" s="52">
        <f>IF(M24=3,SUMIF(M31:M35,"&gt;0"),0)</f>
        <v>0</v>
      </c>
      <c r="N66" s="48">
        <f>IF(N24=3,SUMIF(N31:N35,"&gt;0"),0)</f>
        <v>0</v>
      </c>
      <c r="P66" s="52">
        <f>IF(P24=3,SUMIF(P31:P35,"&gt;0"),0)</f>
        <v>0</v>
      </c>
      <c r="Q66" s="48">
        <f>IF(Q24=3,SUMIF(Q31:Q35,"&gt;0"),0)</f>
        <v>0</v>
      </c>
      <c r="S66" s="52">
        <f>IF(S24=3,SUMIF(S31:S35,"&gt;0"),0)</f>
        <v>0</v>
      </c>
      <c r="T66" s="48">
        <f>IF(T24=3,SUMIF(T31:T35,"&gt;0"),0)</f>
        <v>0</v>
      </c>
      <c r="V66" s="52">
        <f>IF(V24=3,SUMIF(V31:V35,"&gt;0"),0)</f>
        <v>0</v>
      </c>
      <c r="W66" s="48">
        <f>IF(W24=3,SUMIF(W31:W35,"&gt;0"),0)</f>
        <v>0</v>
      </c>
      <c r="Y66" s="52">
        <f>IF(Y24=3,SUMIF(Y31:Y35,"&gt;0"),0)</f>
        <v>0</v>
      </c>
      <c r="Z66" s="48">
        <f>IF(Z24=3,SUMIF(Z31:Z35,"&gt;0"),0)</f>
        <v>0</v>
      </c>
      <c r="AB66" s="52">
        <f>IF(AB24=3,SUMIF(AB31:AB35,"&gt;0"),0)</f>
        <v>0</v>
      </c>
      <c r="AC66" s="48">
        <f>IF(AC24=3,SUMIF(AC31:AC35,"&gt;0"),0)</f>
        <v>0</v>
      </c>
      <c r="AE66" s="52">
        <f>IF(AE24=3,SUMIF(AE31:AE35,"&gt;0"),0)</f>
        <v>0</v>
      </c>
      <c r="AF66" s="48">
        <f>SUM(B66:AE66)</f>
        <v>0</v>
      </c>
      <c r="AG66" s="48">
        <f>AF74-AF66</f>
        <v>3</v>
      </c>
    </row>
    <row r="67" spans="1:49" s="48" customFormat="1" ht="12.75" hidden="1" customHeight="1" x14ac:dyDescent="0.25">
      <c r="A67" s="48" t="s">
        <v>80</v>
      </c>
      <c r="B67" s="48">
        <f>IF(B24=4,SUMIF(B31:B35,"&gt;0"),0)</f>
        <v>0</v>
      </c>
      <c r="D67" s="52">
        <f>IF(D24=4,SUMIF(D31:D35,"&gt;0"),0)</f>
        <v>0</v>
      </c>
      <c r="E67" s="48">
        <f>IF(E24=4,SUMIF(E31:E35,"&gt;0"),0)</f>
        <v>0</v>
      </c>
      <c r="G67" s="52">
        <f>IF(G24=4,SUMIF(G31:G35,"&gt;0"),0)</f>
        <v>1</v>
      </c>
      <c r="H67" s="48">
        <f>IF(H24=4,SUMIF(H31:H35,"&gt;0"),0)</f>
        <v>0</v>
      </c>
      <c r="J67" s="52">
        <f>IF(J24=4,SUMIF(J31:J35,"&gt;0"),0)</f>
        <v>0</v>
      </c>
      <c r="K67" s="48">
        <f>IF(K24=4,SUMIF(K31:K35,"&gt;0"),0)</f>
        <v>0</v>
      </c>
      <c r="M67" s="52">
        <f>IF(M24=4,SUMIF(M31:M35,"&gt;0"),0)</f>
        <v>0</v>
      </c>
      <c r="N67" s="48">
        <f>IF(N24=4,SUMIF(N31:N35,"&gt;0"),0)</f>
        <v>0</v>
      </c>
      <c r="P67" s="52">
        <f>IF(P24=4,SUMIF(P31:P35,"&gt;0"),0)</f>
        <v>1</v>
      </c>
      <c r="Q67" s="48">
        <f>IF(Q24=4,SUMIF(Q31:Q35,"&gt;0"),0)</f>
        <v>0</v>
      </c>
      <c r="S67" s="52">
        <f>IF(S24=4,SUMIF(S31:S35,"&gt;0"),0)</f>
        <v>0</v>
      </c>
      <c r="T67" s="48">
        <f>IF(T24=4,SUMIF(T31:T35,"&gt;0"),0)</f>
        <v>0</v>
      </c>
      <c r="V67" s="52">
        <f>IF(V24=4,SUMIF(V31:V35,"&gt;0"),0)</f>
        <v>0</v>
      </c>
      <c r="W67" s="48">
        <f>IF(W24=4,SUMIF(W31:W35,"&gt;0"),0)</f>
        <v>0</v>
      </c>
      <c r="Y67" s="52">
        <f>IF(Y24=4,SUMIF(Y31:Y35,"&gt;0"),0)</f>
        <v>0</v>
      </c>
      <c r="Z67" s="48">
        <f>IF(Z24=4,SUMIF(Z31:Z35,"&gt;0"),0)</f>
        <v>0</v>
      </c>
      <c r="AB67" s="52">
        <f>IF(AB24=4,SUMIF(AB31:AB35,"&gt;0"),0)</f>
        <v>0</v>
      </c>
      <c r="AC67" s="48">
        <f>IF(AC24=4,SUMIF(AC31:AC35,"&gt;0"),0)</f>
        <v>0</v>
      </c>
      <c r="AE67" s="52">
        <f>IF(AE24=4,SUMIF(AE31:AE35,"&gt;0"),0)</f>
        <v>0</v>
      </c>
      <c r="AF67" s="48">
        <f>SUM(B67:AE67)</f>
        <v>2</v>
      </c>
      <c r="AG67" s="48">
        <f>AF75-AF67</f>
        <v>1</v>
      </c>
    </row>
    <row r="68" spans="1:49" s="48" customFormat="1" ht="12.75" hidden="1" customHeight="1" x14ac:dyDescent="0.25">
      <c r="A68" s="48" t="s">
        <v>81</v>
      </c>
      <c r="B68" s="48">
        <f>IF(B24=5,SUMIF(B31:B35,"&gt;0"),0)</f>
        <v>0</v>
      </c>
      <c r="D68" s="52">
        <f>IF(D24=5,SUMIF(D31:D35,"&gt;0"),0)</f>
        <v>0</v>
      </c>
      <c r="E68" s="48">
        <f>IF(E24=5,SUMIF(E31:E35,"&gt;0"),0)</f>
        <v>0</v>
      </c>
      <c r="G68" s="52">
        <f>IF(G24=5,SUMIF(G31:G35,"&gt;0"),0)</f>
        <v>0</v>
      </c>
      <c r="H68" s="48">
        <f>IF(H24=5,SUMIF(H31:H35,"&gt;0"),0)</f>
        <v>0</v>
      </c>
      <c r="J68" s="52">
        <f>IF(J24=5,SUMIF(J31:J35,"&gt;0"),0)</f>
        <v>0</v>
      </c>
      <c r="K68" s="48">
        <f>IF(K24=5,SUMIF(K31:K35,"&gt;0"),0)</f>
        <v>0</v>
      </c>
      <c r="M68" s="52">
        <f>IF(M24=5,SUMIF(M31:M35,"&gt;0"),0)</f>
        <v>0</v>
      </c>
      <c r="N68" s="48">
        <f>IF(N24=5,SUMIF(N31:N35,"&gt;0"),0)</f>
        <v>0</v>
      </c>
      <c r="P68" s="52">
        <f>IF(P24=5,SUMIF(P31:P35,"&gt;0"),0)</f>
        <v>0</v>
      </c>
      <c r="Q68" s="48">
        <f>IF(Q24=5,SUMIF(Q31:Q35,"&gt;0"),0)</f>
        <v>0</v>
      </c>
      <c r="S68" s="52">
        <f>IF(S24=5,SUMIF(S31:S35,"&gt;0"),0)</f>
        <v>0</v>
      </c>
      <c r="T68" s="48">
        <f>IF(T24=5,SUMIF(T31:T35,"&gt;0"),0)</f>
        <v>0</v>
      </c>
      <c r="V68" s="52">
        <f>IF(V24=5,SUMIF(V31:V35,"&gt;0"),0)</f>
        <v>0</v>
      </c>
      <c r="W68" s="48">
        <f>IF(W24=5,SUMIF(W31:W35,"&gt;0"),0)</f>
        <v>0</v>
      </c>
      <c r="Y68" s="52">
        <f>IF(Y24=5,SUMIF(Y31:Y35,"&gt;0"),0)</f>
        <v>0</v>
      </c>
      <c r="Z68" s="48">
        <f>IF(Z24=5,SUMIF(Z31:Z35,"&gt;0"),0)</f>
        <v>0</v>
      </c>
      <c r="AB68" s="52">
        <f>IF(AB24=5,SUMIF(AB31:AB35,"&gt;0"),0)</f>
        <v>0</v>
      </c>
      <c r="AC68" s="48">
        <f>IF(AC24=5,SUMIF(AC31:AC35,"&gt;0"),0)</f>
        <v>0</v>
      </c>
      <c r="AE68" s="52">
        <f>IF(AE24=5,SUMIF(AE31:AE35,"&gt;0"),0)</f>
        <v>0</v>
      </c>
      <c r="AF68" s="48">
        <f>SUM(B68:AE68)</f>
        <v>0</v>
      </c>
      <c r="AG68" s="48">
        <f>AF76-AF68</f>
        <v>0</v>
      </c>
    </row>
    <row r="69" spans="1:49" s="48" customFormat="1" ht="12.75" hidden="1" customHeight="1" x14ac:dyDescent="0.25">
      <c r="D69" s="52"/>
      <c r="G69" s="52"/>
      <c r="J69" s="52"/>
      <c r="M69" s="52"/>
      <c r="P69" s="52"/>
      <c r="S69" s="52"/>
      <c r="V69" s="52"/>
      <c r="Y69" s="52"/>
      <c r="AB69" s="52"/>
      <c r="AE69" s="52"/>
    </row>
    <row r="70" spans="1:49" s="48" customFormat="1" ht="12.75" hidden="1" customHeight="1" x14ac:dyDescent="0.25">
      <c r="D70" s="52"/>
      <c r="G70" s="52"/>
      <c r="J70" s="52"/>
      <c r="M70" s="52"/>
      <c r="P70" s="52"/>
      <c r="S70" s="52"/>
      <c r="V70" s="52"/>
      <c r="Y70" s="52"/>
      <c r="AB70" s="52"/>
      <c r="AE70" s="52"/>
    </row>
    <row r="71" spans="1:49" s="48" customFormat="1" ht="51" hidden="1" customHeight="1" x14ac:dyDescent="0.25">
      <c r="A71" s="51" t="s">
        <v>92</v>
      </c>
      <c r="C71" s="48">
        <f>SUMIF(B64:D68,"&gt;0")</f>
        <v>1</v>
      </c>
      <c r="D71" s="52"/>
      <c r="F71" s="48">
        <f>SUMIF(E64:G68,"&gt;0")</f>
        <v>1</v>
      </c>
      <c r="G71" s="52"/>
      <c r="I71" s="48">
        <f>SUMIF(H64:J68,"&gt;0")</f>
        <v>1</v>
      </c>
      <c r="J71" s="52"/>
      <c r="L71" s="48">
        <f>SUMIF(K64:M68,"&gt;0")</f>
        <v>1</v>
      </c>
      <c r="M71" s="52"/>
      <c r="O71" s="48">
        <f>SUMIF(N64:P68,"&gt;0")</f>
        <v>1</v>
      </c>
      <c r="P71" s="52"/>
      <c r="R71" s="48">
        <f>SUMIF(Q64:S68,"&gt;0")</f>
        <v>1</v>
      </c>
      <c r="S71" s="52"/>
      <c r="U71" s="48">
        <f>SUMIF(T64:V68,"&gt;0")</f>
        <v>0</v>
      </c>
      <c r="V71" s="52"/>
      <c r="X71" s="48">
        <f>SUMIF(W64:Y68,"&gt;0")</f>
        <v>0</v>
      </c>
      <c r="Y71" s="52"/>
      <c r="AA71" s="48">
        <f>SUMIF(Z64:AB68,"&gt;0")</f>
        <v>0</v>
      </c>
      <c r="AB71" s="52"/>
      <c r="AD71" s="48">
        <f>SUMIF(AC64:AE68,"&gt;0")</f>
        <v>0</v>
      </c>
      <c r="AE71" s="52"/>
      <c r="AF71" s="51" t="s">
        <v>93</v>
      </c>
    </row>
    <row r="72" spans="1:49" s="48" customFormat="1" ht="12.75" hidden="1" customHeight="1" x14ac:dyDescent="0.25">
      <c r="A72" s="48" t="s">
        <v>83</v>
      </c>
      <c r="B72" s="48">
        <f>IF(B24=1,C71,0)</f>
        <v>0</v>
      </c>
      <c r="D72" s="52">
        <f>IF(D24=1,C71,0)</f>
        <v>0</v>
      </c>
      <c r="E72" s="48">
        <f>IF(E24=1,F71,0)</f>
        <v>1</v>
      </c>
      <c r="G72" s="52">
        <f>IF(G24=1,F71,0)</f>
        <v>0</v>
      </c>
      <c r="H72" s="48">
        <f>IF(H24=1,I71,0)</f>
        <v>0</v>
      </c>
      <c r="J72" s="52">
        <f>IF(J24=1,I71,0)</f>
        <v>0</v>
      </c>
      <c r="K72" s="48">
        <f>IF(K24=1,L71,0)</f>
        <v>1</v>
      </c>
      <c r="M72" s="52">
        <f>IF(M24=1,L71,0)</f>
        <v>0</v>
      </c>
      <c r="N72" s="48">
        <f>IF(N24=1,O71,0)</f>
        <v>0</v>
      </c>
      <c r="P72" s="52">
        <f>IF(P24=1,O71,0)</f>
        <v>0</v>
      </c>
      <c r="Q72" s="48">
        <f>IF(Q24=1,R71,0)</f>
        <v>1</v>
      </c>
      <c r="S72" s="52">
        <f>IF(S24=1,R71,0)</f>
        <v>0</v>
      </c>
      <c r="T72" s="48">
        <f>IF(T24=1,U71,0)</f>
        <v>0</v>
      </c>
      <c r="V72" s="52">
        <f>IF(V24=1,U71,0)</f>
        <v>0</v>
      </c>
      <c r="W72" s="48">
        <f>IF(W24=1,X71,0)</f>
        <v>0</v>
      </c>
      <c r="Y72" s="52">
        <f>IF(Y24=1,X71,0)</f>
        <v>0</v>
      </c>
      <c r="Z72" s="48">
        <f>IF(Z24=1,AA71,0)</f>
        <v>0</v>
      </c>
      <c r="AB72" s="52">
        <f>IF(AB24=1,AA71,0)</f>
        <v>0</v>
      </c>
      <c r="AC72" s="48">
        <f>IF(AC24=1,AD71,0)</f>
        <v>0</v>
      </c>
      <c r="AE72" s="52">
        <f>IF(AE24=1,AD71,0)</f>
        <v>0</v>
      </c>
      <c r="AF72" s="48">
        <f>SUM(B72:AE72)</f>
        <v>3</v>
      </c>
    </row>
    <row r="73" spans="1:49" s="48" customFormat="1" ht="12.75" hidden="1" customHeight="1" x14ac:dyDescent="0.25">
      <c r="A73" s="48" t="s">
        <v>84</v>
      </c>
      <c r="B73" s="48">
        <f>IF(B24=2,C71,0)</f>
        <v>1</v>
      </c>
      <c r="D73" s="52">
        <f>IF(D24=2,C71,0)</f>
        <v>0</v>
      </c>
      <c r="E73" s="48">
        <f>IF(E24=2,F71,0)</f>
        <v>0</v>
      </c>
      <c r="G73" s="52">
        <f>IF(G24=2,F71,0)</f>
        <v>0</v>
      </c>
      <c r="H73" s="48">
        <f>IF(H24=2,I71,0)</f>
        <v>1</v>
      </c>
      <c r="J73" s="52">
        <f>IF(J24=2,I71,0)</f>
        <v>0</v>
      </c>
      <c r="K73" s="48">
        <f>IF(K24=2,L71,0)</f>
        <v>0</v>
      </c>
      <c r="M73" s="52">
        <f>IF(M24=2,L71,0)</f>
        <v>0</v>
      </c>
      <c r="N73" s="48">
        <f>IF(N24=2,O71,0)</f>
        <v>0</v>
      </c>
      <c r="P73" s="52">
        <f>IF(P24=2,O71,0)</f>
        <v>0</v>
      </c>
      <c r="Q73" s="48">
        <f>IF(Q24=2,R71,0)</f>
        <v>0</v>
      </c>
      <c r="S73" s="52">
        <f>IF(S24=2,R71,0)</f>
        <v>1</v>
      </c>
      <c r="T73" s="48">
        <f>IF(T24=2,U71,0)</f>
        <v>0</v>
      </c>
      <c r="V73" s="52">
        <f>IF(V24=2,U71,0)</f>
        <v>0</v>
      </c>
      <c r="W73" s="48">
        <f>IF(W24=2,X71,0)</f>
        <v>0</v>
      </c>
      <c r="Y73" s="52">
        <f>IF(Y24=2,X71,0)</f>
        <v>0</v>
      </c>
      <c r="Z73" s="48">
        <f>IF(Z24=2,AA71,0)</f>
        <v>0</v>
      </c>
      <c r="AB73" s="52">
        <f>IF(AB24=2,AA71,0)</f>
        <v>0</v>
      </c>
      <c r="AC73" s="48">
        <f>IF(AC24=2,AD71,0)</f>
        <v>0</v>
      </c>
      <c r="AE73" s="52">
        <f>IF(AE24=2,AD71,0)</f>
        <v>0</v>
      </c>
      <c r="AF73" s="48">
        <f>SUM(B73:AE73)</f>
        <v>3</v>
      </c>
    </row>
    <row r="74" spans="1:49" s="48" customFormat="1" ht="12.75" hidden="1" customHeight="1" x14ac:dyDescent="0.25">
      <c r="A74" s="48" t="s">
        <v>85</v>
      </c>
      <c r="B74" s="48">
        <f>IF(B24=3,C71,0)</f>
        <v>0</v>
      </c>
      <c r="D74" s="52">
        <f>IF(D24=3,C71,0)</f>
        <v>1</v>
      </c>
      <c r="E74" s="48">
        <f>IF(E24=3,F71,0)</f>
        <v>0</v>
      </c>
      <c r="G74" s="52">
        <f>IF(G24=3,F71,0)</f>
        <v>0</v>
      </c>
      <c r="H74" s="48">
        <f>IF(H24=3,I71,0)</f>
        <v>0</v>
      </c>
      <c r="J74" s="52">
        <f>IF(J24=3,I71,0)</f>
        <v>0</v>
      </c>
      <c r="K74" s="48">
        <f>IF(K24=3,L71,0)</f>
        <v>0</v>
      </c>
      <c r="M74" s="52">
        <f>IF(M24=3,L71,0)</f>
        <v>1</v>
      </c>
      <c r="N74" s="48">
        <f>IF(N24=3,O71,0)</f>
        <v>1</v>
      </c>
      <c r="P74" s="52">
        <f>IF(P24=3,O71,0)</f>
        <v>0</v>
      </c>
      <c r="Q74" s="48">
        <f>IF(Q24=3,R71,0)</f>
        <v>0</v>
      </c>
      <c r="S74" s="52">
        <f>IF(S24=3,R71,0)</f>
        <v>0</v>
      </c>
      <c r="T74" s="48">
        <f>IF(T24=3,U71,0)</f>
        <v>0</v>
      </c>
      <c r="V74" s="52">
        <f>IF(V24=3,U71,0)</f>
        <v>0</v>
      </c>
      <c r="W74" s="48">
        <f>IF(W24=3,X71,0)</f>
        <v>0</v>
      </c>
      <c r="Y74" s="52">
        <f>IF(Y24=3,X71,0)</f>
        <v>0</v>
      </c>
      <c r="Z74" s="48">
        <f>IF(Z24=3,AA71,0)</f>
        <v>0</v>
      </c>
      <c r="AB74" s="52">
        <f>IF(AB24=3,AA71,0)</f>
        <v>0</v>
      </c>
      <c r="AC74" s="48">
        <f>IF(AC24=3,AD71,0)</f>
        <v>0</v>
      </c>
      <c r="AE74" s="52">
        <f>IF(AE24=3,AD71,0)</f>
        <v>0</v>
      </c>
      <c r="AF74" s="48">
        <f>SUM(B74:AE74)</f>
        <v>3</v>
      </c>
    </row>
    <row r="75" spans="1:49" s="48" customFormat="1" ht="12.75" hidden="1" customHeight="1" x14ac:dyDescent="0.25">
      <c r="A75" s="48" t="s">
        <v>86</v>
      </c>
      <c r="B75" s="48">
        <f>IF(B24=4,C71,0)</f>
        <v>0</v>
      </c>
      <c r="D75" s="52">
        <f>IF(D24=4,C71,0)</f>
        <v>0</v>
      </c>
      <c r="E75" s="48">
        <f>IF(E24=4,F71,0)</f>
        <v>0</v>
      </c>
      <c r="G75" s="52">
        <f>IF(G24=4,F71,0)</f>
        <v>1</v>
      </c>
      <c r="H75" s="48">
        <f>IF(H24=4,I71,0)</f>
        <v>0</v>
      </c>
      <c r="J75" s="52">
        <f>IF(J24=4,I71,0)</f>
        <v>1</v>
      </c>
      <c r="K75" s="48">
        <f>IF(K24=4,L71,0)</f>
        <v>0</v>
      </c>
      <c r="M75" s="52">
        <f>IF(M24=4,L71,0)</f>
        <v>0</v>
      </c>
      <c r="N75" s="48">
        <f>IF(N24=4,O71,0)</f>
        <v>0</v>
      </c>
      <c r="P75" s="52">
        <f>IF(P24=4,O71,0)</f>
        <v>1</v>
      </c>
      <c r="Q75" s="48">
        <f>IF(Q24=4,R71,0)</f>
        <v>0</v>
      </c>
      <c r="S75" s="52">
        <f>IF(S24=4,R71,0)</f>
        <v>0</v>
      </c>
      <c r="T75" s="48">
        <f>IF(T24=4,U71,0)</f>
        <v>0</v>
      </c>
      <c r="V75" s="52">
        <f>IF(V24=4,U71,0)</f>
        <v>0</v>
      </c>
      <c r="W75" s="48">
        <f>IF(W24=4,X71,0)</f>
        <v>0</v>
      </c>
      <c r="Y75" s="52">
        <f>IF(Y24=4,X71,0)</f>
        <v>0</v>
      </c>
      <c r="Z75" s="48">
        <f>IF(Z24=4,AA71,0)</f>
        <v>0</v>
      </c>
      <c r="AB75" s="52">
        <f>IF(AB24=4,AA71,0)</f>
        <v>0</v>
      </c>
      <c r="AC75" s="48">
        <f>IF(AC24=4,AD71,0)</f>
        <v>0</v>
      </c>
      <c r="AE75" s="52">
        <f>IF(AE24=4,AD71,0)</f>
        <v>0</v>
      </c>
      <c r="AF75" s="48">
        <f>SUM(B75:AE75)</f>
        <v>3</v>
      </c>
    </row>
    <row r="76" spans="1:49" s="48" customFormat="1" ht="12.75" hidden="1" customHeight="1" x14ac:dyDescent="0.25">
      <c r="A76" s="48" t="s">
        <v>87</v>
      </c>
      <c r="B76" s="48">
        <f>IF(B24=5,C71,0)</f>
        <v>0</v>
      </c>
      <c r="D76" s="52">
        <f>IF(D24=5,C71,0)</f>
        <v>0</v>
      </c>
      <c r="E76" s="48">
        <f>IF(E24=5,F71,0)</f>
        <v>0</v>
      </c>
      <c r="G76" s="52">
        <f>IF(G24=5,F71,0)</f>
        <v>0</v>
      </c>
      <c r="H76" s="48">
        <f>IF(H24=5,I71,0)</f>
        <v>0</v>
      </c>
      <c r="J76" s="52">
        <f>IF(J24=5,I71,0)</f>
        <v>0</v>
      </c>
      <c r="K76" s="48">
        <f>IF(K24=5,L71,0)</f>
        <v>0</v>
      </c>
      <c r="M76" s="52">
        <f>IF(M24=5,L71,0)</f>
        <v>0</v>
      </c>
      <c r="N76" s="48">
        <f>IF(N24=5,O71,0)</f>
        <v>0</v>
      </c>
      <c r="P76" s="52">
        <f>IF(P24=5,O71,0)</f>
        <v>0</v>
      </c>
      <c r="Q76" s="48">
        <f>IF(Q24=5,R71,0)</f>
        <v>0</v>
      </c>
      <c r="S76" s="52">
        <f>IF(S24=5,R71,0)</f>
        <v>0</v>
      </c>
      <c r="T76" s="48">
        <f>IF(T24=5,U71,0)</f>
        <v>0</v>
      </c>
      <c r="V76" s="52">
        <f>IF(V24=5,U71,0)</f>
        <v>0</v>
      </c>
      <c r="W76" s="48">
        <f>IF(W24=5,X71,0)</f>
        <v>0</v>
      </c>
      <c r="Y76" s="52">
        <f>IF(Y24=5,X71,0)</f>
        <v>0</v>
      </c>
      <c r="Z76" s="48">
        <f>IF(Z24=5,AA71,0)</f>
        <v>0</v>
      </c>
      <c r="AB76" s="52">
        <f>IF(AB24=5,AA71,0)</f>
        <v>0</v>
      </c>
      <c r="AC76" s="48">
        <f>IF(AC24=5,AD71,0)</f>
        <v>0</v>
      </c>
      <c r="AE76" s="52">
        <f>IF(AE24=5,AD71,0)</f>
        <v>0</v>
      </c>
      <c r="AF76" s="48">
        <f>SUM(B76:AE76)</f>
        <v>0</v>
      </c>
      <c r="AT76" s="55"/>
      <c r="AU76" s="55"/>
      <c r="AV76" s="55"/>
    </row>
    <row r="77" spans="1:49" hidden="1" x14ac:dyDescent="0.2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4"/>
      <c r="AO77" s="54"/>
      <c r="AP77" s="54"/>
      <c r="AQ77" s="54"/>
      <c r="AR77" s="55"/>
      <c r="AS77" s="55"/>
      <c r="AT77" s="55"/>
      <c r="AU77" s="55"/>
      <c r="AV77" s="55"/>
      <c r="AW77" s="56"/>
    </row>
    <row r="78" spans="1:49" s="55" customFormat="1" hidden="1" x14ac:dyDescent="0.25">
      <c r="A78" s="57"/>
      <c r="B78" s="57"/>
      <c r="C78" s="57" t="s">
        <v>94</v>
      </c>
      <c r="D78" s="57">
        <v>1</v>
      </c>
      <c r="E78" s="57"/>
      <c r="F78" s="57"/>
      <c r="G78" s="57">
        <v>2</v>
      </c>
      <c r="H78" s="57"/>
      <c r="I78" s="57"/>
      <c r="J78" s="57">
        <v>3</v>
      </c>
      <c r="K78" s="57"/>
      <c r="L78" s="57"/>
      <c r="M78" s="57">
        <v>4</v>
      </c>
      <c r="N78" s="57"/>
      <c r="O78" s="57"/>
      <c r="P78" s="57">
        <v>5</v>
      </c>
      <c r="Q78" s="57"/>
      <c r="R78" s="57"/>
      <c r="S78" s="57">
        <v>6</v>
      </c>
      <c r="T78" s="57"/>
      <c r="U78" s="57"/>
      <c r="V78" s="57">
        <v>7</v>
      </c>
      <c r="W78" s="57"/>
      <c r="X78" s="57"/>
      <c r="Y78" s="57">
        <v>8</v>
      </c>
      <c r="Z78" s="57"/>
      <c r="AA78" s="57"/>
      <c r="AB78" s="57">
        <v>9</v>
      </c>
      <c r="AC78" s="57"/>
      <c r="AD78" s="57"/>
      <c r="AE78" s="57">
        <v>10</v>
      </c>
      <c r="AF78" s="4"/>
      <c r="AG78" s="57"/>
      <c r="AI78" s="58"/>
      <c r="AJ78" s="4"/>
      <c r="AK78" s="4"/>
      <c r="AL78" s="4"/>
      <c r="AM78" s="4"/>
      <c r="AN78" s="4"/>
      <c r="AO78" s="4"/>
      <c r="AT78" s="58" t="s">
        <v>95</v>
      </c>
      <c r="AW78" s="59"/>
    </row>
    <row r="79" spans="1:49" s="55" customFormat="1" hidden="1" x14ac:dyDescent="0.25">
      <c r="A79" s="60">
        <v>1</v>
      </c>
      <c r="B79" s="60" t="str">
        <f>E8</f>
        <v>SCWE12FLYERS</v>
      </c>
      <c r="C79" s="60">
        <f>VLOOKUP(B79,AU$3:AW$33,3,FALSE)</f>
        <v>1200</v>
      </c>
      <c r="D79" s="60">
        <f>IF(B72,B87,IF(D72,D87,C79))</f>
        <v>1200</v>
      </c>
      <c r="E79" s="60"/>
      <c r="F79" s="60"/>
      <c r="G79" s="60">
        <f>IF(E72,E87,IF(G72,G87,D79))</f>
        <v>1184</v>
      </c>
      <c r="H79" s="60"/>
      <c r="I79" s="60"/>
      <c r="J79" s="60">
        <f>IF(H72,H87,IF(J72,J87,G79))</f>
        <v>1184</v>
      </c>
      <c r="K79" s="60"/>
      <c r="L79" s="60"/>
      <c r="M79" s="60">
        <f>IF(K72,K87,IF(M72,M87,J79))</f>
        <v>1200</v>
      </c>
      <c r="N79" s="60"/>
      <c r="O79" s="60"/>
      <c r="P79" s="60">
        <f>IF(N72,N87,IF(P72,P87,M79))</f>
        <v>1200</v>
      </c>
      <c r="Q79" s="60"/>
      <c r="R79" s="60"/>
      <c r="S79" s="60">
        <f>IF(Q72,Q87,IF(S72,S87,P79))</f>
        <v>1185.4695015289756</v>
      </c>
      <c r="T79" s="60"/>
      <c r="U79" s="60"/>
      <c r="V79" s="60">
        <f>IF(T72,T87,IF(V72,V87,S79))</f>
        <v>1185.4695015289756</v>
      </c>
      <c r="W79" s="60"/>
      <c r="X79" s="60"/>
      <c r="Y79" s="60">
        <f>IF(W72,W87,IF(Y72,Y87,V79))</f>
        <v>1185.4695015289756</v>
      </c>
      <c r="Z79" s="60"/>
      <c r="AA79" s="60"/>
      <c r="AB79" s="60">
        <f>IF(Z72,Z87,IF(AB72,AB87,Y79))</f>
        <v>1185.4695015289756</v>
      </c>
      <c r="AC79" s="60"/>
      <c r="AD79" s="60"/>
      <c r="AE79" s="60">
        <f>IF(AC72,AC87,IF(AE72,AE87,AB79))</f>
        <v>1185.4695015289756</v>
      </c>
      <c r="AF79" s="4"/>
      <c r="AG79" s="4"/>
      <c r="AJ79" s="4"/>
      <c r="AK79" s="4"/>
      <c r="AL79" s="4"/>
      <c r="AM79" s="4"/>
      <c r="AN79" s="4"/>
      <c r="AO79" s="4"/>
      <c r="AT79" s="55" t="str">
        <f>B79</f>
        <v>SCWE12FLYERS</v>
      </c>
      <c r="AU79" s="55">
        <f>AE79</f>
        <v>1185.4695015289756</v>
      </c>
      <c r="AW79" s="59"/>
    </row>
    <row r="80" spans="1:49" s="55" customFormat="1" hidden="1" x14ac:dyDescent="0.25">
      <c r="A80" s="60">
        <v>2</v>
      </c>
      <c r="B80" s="60" t="str">
        <f>E10</f>
        <v>Excell Palmetto State 12</v>
      </c>
      <c r="C80" s="60">
        <f>VLOOKUP(B80,AU$3:AW$33,3,FALSE)</f>
        <v>1200</v>
      </c>
      <c r="D80" s="60">
        <f>IF(B73,B87,IF(D73,D87,C80))</f>
        <v>1216</v>
      </c>
      <c r="E80" s="60"/>
      <c r="F80" s="60"/>
      <c r="G80" s="60">
        <f>IF(E73,E87,IF(G73,G87,D80))</f>
        <v>1216</v>
      </c>
      <c r="H80" s="60"/>
      <c r="I80" s="60"/>
      <c r="J80" s="60">
        <f>IF(H73,H87,IF(J73,J87,G80))</f>
        <v>1232</v>
      </c>
      <c r="K80" s="60"/>
      <c r="L80" s="60"/>
      <c r="M80" s="60">
        <f>IF(K73,K87,IF(M73,M87,J80))</f>
        <v>1232</v>
      </c>
      <c r="N80" s="60"/>
      <c r="O80" s="60"/>
      <c r="P80" s="60">
        <f>IF(N73,N87,IF(P73,P87,M80))</f>
        <v>1232</v>
      </c>
      <c r="Q80" s="60"/>
      <c r="R80" s="60"/>
      <c r="S80" s="60">
        <f>IF(Q73,Q87,IF(S73,S87,P80))</f>
        <v>1246.5304984710244</v>
      </c>
      <c r="T80" s="60"/>
      <c r="U80" s="60"/>
      <c r="V80" s="60">
        <f>IF(T73,T87,IF(V73,V87,S80))</f>
        <v>1246.5304984710244</v>
      </c>
      <c r="W80" s="60"/>
      <c r="X80" s="60"/>
      <c r="Y80" s="60">
        <f>IF(W73,W87,IF(Y73,Y87,V80))</f>
        <v>1246.5304984710244</v>
      </c>
      <c r="Z80" s="60"/>
      <c r="AA80" s="60"/>
      <c r="AB80" s="60">
        <f>IF(Z73,Z87,IF(AB73,AB87,Y80))</f>
        <v>1246.5304984710244</v>
      </c>
      <c r="AC80" s="60"/>
      <c r="AD80" s="60"/>
      <c r="AE80" s="60">
        <f>IF(AC73,AC87,IF(AE73,AE87,AB80))</f>
        <v>1246.5304984710244</v>
      </c>
      <c r="AF80" s="4"/>
      <c r="AG80" s="4"/>
      <c r="AJ80" s="4"/>
      <c r="AL80" s="4"/>
      <c r="AM80" s="4"/>
      <c r="AN80" s="4"/>
      <c r="AO80" s="4"/>
      <c r="AT80" s="55" t="str">
        <f>B80</f>
        <v>Excell Palmetto State 12</v>
      </c>
      <c r="AU80" s="55">
        <f>AE80</f>
        <v>1246.5304984710244</v>
      </c>
      <c r="AW80" s="59"/>
    </row>
    <row r="81" spans="1:49" s="55" customFormat="1" hidden="1" x14ac:dyDescent="0.25">
      <c r="A81" s="60">
        <v>3</v>
      </c>
      <c r="B81" s="60" t="str">
        <f>E12</f>
        <v>Kershaw Dev 12 Black</v>
      </c>
      <c r="C81" s="60">
        <f>VLOOKUP(B81,AU$3:AW$33,3,FALSE)</f>
        <v>1200</v>
      </c>
      <c r="D81" s="60">
        <f>IF(B74,B87,IF(D74,D87,C81))</f>
        <v>1184</v>
      </c>
      <c r="E81" s="60"/>
      <c r="F81" s="60"/>
      <c r="G81" s="60">
        <f>IF(E74,E87,IF(G74,G87,D81))</f>
        <v>1184</v>
      </c>
      <c r="H81" s="60"/>
      <c r="I81" s="60"/>
      <c r="J81" s="60">
        <f>IF(H74,H87,IF(J74,J87,G81))</f>
        <v>1184</v>
      </c>
      <c r="K81" s="60"/>
      <c r="L81" s="60"/>
      <c r="M81" s="60">
        <f>IF(K74,K87,IF(M74,M87,J81))</f>
        <v>1168</v>
      </c>
      <c r="N81" s="60"/>
      <c r="O81" s="60"/>
      <c r="P81" s="60">
        <f>IF(N74,N87,IF(P74,P87,M81))</f>
        <v>1153.4695015289756</v>
      </c>
      <c r="Q81" s="60"/>
      <c r="R81" s="60"/>
      <c r="S81" s="60">
        <f>IF(Q74,Q87,IF(S74,S87,P81))</f>
        <v>1153.4695015289756</v>
      </c>
      <c r="T81" s="60"/>
      <c r="U81" s="60"/>
      <c r="V81" s="60">
        <f>IF(T74,T87,IF(V74,V87,S81))</f>
        <v>1153.4695015289756</v>
      </c>
      <c r="W81" s="60"/>
      <c r="X81" s="60"/>
      <c r="Y81" s="60">
        <f>IF(W74,W87,IF(Y74,Y87,V81))</f>
        <v>1153.4695015289756</v>
      </c>
      <c r="Z81" s="60"/>
      <c r="AA81" s="60"/>
      <c r="AB81" s="60">
        <f>IF(Z74,Z87,IF(AB74,AB87,Y81))</f>
        <v>1153.4695015289756</v>
      </c>
      <c r="AC81" s="60"/>
      <c r="AD81" s="60"/>
      <c r="AE81" s="60">
        <f>IF(AC74,AC87,IF(AE74,AE87,AB81))</f>
        <v>1153.4695015289756</v>
      </c>
      <c r="AF81" s="4"/>
      <c r="AG81" s="4"/>
      <c r="AJ81" s="4"/>
      <c r="AL81" s="4"/>
      <c r="AM81" s="4"/>
      <c r="AN81" s="4"/>
      <c r="AO81" s="4"/>
      <c r="AT81" s="55" t="str">
        <f>B81</f>
        <v>Kershaw Dev 12 Black</v>
      </c>
      <c r="AU81" s="55">
        <f>AE81</f>
        <v>1153.4695015289756</v>
      </c>
      <c r="AW81" s="59"/>
    </row>
    <row r="82" spans="1:49" s="55" customFormat="1" hidden="1" x14ac:dyDescent="0.25">
      <c r="A82" s="60">
        <v>4</v>
      </c>
      <c r="B82" s="60" t="str">
        <f>E14</f>
        <v>Crossfire 12 Jrs</v>
      </c>
      <c r="C82" s="60">
        <f>VLOOKUP(B82,AU$3:AW$33,3,FALSE)</f>
        <v>1200</v>
      </c>
      <c r="D82" s="60">
        <f>IF(B75,B87,IF(D75,D87,C82))</f>
        <v>1200</v>
      </c>
      <c r="E82" s="60"/>
      <c r="F82" s="60"/>
      <c r="G82" s="60">
        <f>IF(E75,E87,IF(G75,G87,D82))</f>
        <v>1216</v>
      </c>
      <c r="H82" s="60"/>
      <c r="I82" s="60"/>
      <c r="J82" s="60">
        <f>IF(H75,H87,IF(J75,J87,G82))</f>
        <v>1200</v>
      </c>
      <c r="K82" s="60"/>
      <c r="L82" s="60"/>
      <c r="M82" s="60">
        <f>IF(K75,K87,IF(M75,M87,J82))</f>
        <v>1200</v>
      </c>
      <c r="N82" s="60"/>
      <c r="O82" s="60"/>
      <c r="P82" s="60">
        <f>IF(N75,N87,IF(P75,P87,M82))</f>
        <v>1214.5304984710244</v>
      </c>
      <c r="Q82" s="60"/>
      <c r="R82" s="60"/>
      <c r="S82" s="60">
        <f>IF(Q75,Q87,IF(S75,S87,P82))</f>
        <v>1214.5304984710244</v>
      </c>
      <c r="T82" s="60"/>
      <c r="U82" s="60"/>
      <c r="V82" s="60">
        <f>IF(T75,T87,IF(V75,V87,S82))</f>
        <v>1214.5304984710244</v>
      </c>
      <c r="W82" s="60"/>
      <c r="X82" s="60"/>
      <c r="Y82" s="60">
        <f>IF(W75,W87,IF(Y75,Y87,V82))</f>
        <v>1214.5304984710244</v>
      </c>
      <c r="Z82" s="60"/>
      <c r="AA82" s="60"/>
      <c r="AB82" s="60">
        <f>IF(Z75,Z87,IF(AB75,AB87,Y82))</f>
        <v>1214.5304984710244</v>
      </c>
      <c r="AC82" s="60"/>
      <c r="AD82" s="60"/>
      <c r="AE82" s="60">
        <f>IF(AC75,AC87,IF(AE75,AE87,AB82))</f>
        <v>1214.5304984710244</v>
      </c>
      <c r="AF82" s="4"/>
      <c r="AG82" s="4"/>
      <c r="AJ82" s="4"/>
      <c r="AL82" s="4"/>
      <c r="AM82" s="4"/>
      <c r="AN82" s="4"/>
      <c r="AO82" s="4"/>
      <c r="AT82" s="55" t="str">
        <f>B82</f>
        <v>Crossfire 12 Jrs</v>
      </c>
      <c r="AU82" s="55">
        <f>AE82</f>
        <v>1214.5304984710244</v>
      </c>
      <c r="AW82" s="59"/>
    </row>
    <row r="83" spans="1:49" s="55" customFormat="1" hidden="1" x14ac:dyDescent="0.25">
      <c r="A83" s="60">
        <v>5</v>
      </c>
      <c r="B83" s="60">
        <f>E16</f>
        <v>0</v>
      </c>
      <c r="C83" s="60" t="e">
        <f>VLOOKUP(B83,AU$3:AW$33,3,FALSE)</f>
        <v>#N/A</v>
      </c>
      <c r="D83" s="60" t="e">
        <f>IF(B76,B87,IF(D76,D87,C83))</f>
        <v>#N/A</v>
      </c>
      <c r="E83" s="60"/>
      <c r="F83" s="60"/>
      <c r="G83" s="60" t="e">
        <f>IF(E76,E87,IF(G76,G87,D83))</f>
        <v>#N/A</v>
      </c>
      <c r="H83" s="60"/>
      <c r="I83" s="60"/>
      <c r="J83" s="60" t="e">
        <f>IF(H76,H87,IF(J76,J87,G83))</f>
        <v>#N/A</v>
      </c>
      <c r="K83" s="60"/>
      <c r="L83" s="60"/>
      <c r="M83" s="60" t="e">
        <f>IF(K76,K87,IF(M76,M87,J83))</f>
        <v>#N/A</v>
      </c>
      <c r="N83" s="60"/>
      <c r="O83" s="60"/>
      <c r="P83" s="60" t="e">
        <f>IF(N76,N87,IF(P76,P87,M83))</f>
        <v>#N/A</v>
      </c>
      <c r="Q83" s="60"/>
      <c r="R83" s="60"/>
      <c r="S83" s="60" t="e">
        <f>IF(Q76,Q87,IF(S76,S87,P83))</f>
        <v>#N/A</v>
      </c>
      <c r="T83" s="60"/>
      <c r="U83" s="60"/>
      <c r="V83" s="60" t="e">
        <f>IF(T76,T87,IF(V76,V87,S83))</f>
        <v>#N/A</v>
      </c>
      <c r="W83" s="60"/>
      <c r="X83" s="60"/>
      <c r="Y83" s="60" t="e">
        <f>IF(W76,W87,IF(Y76,Y87,V83))</f>
        <v>#N/A</v>
      </c>
      <c r="Z83" s="60"/>
      <c r="AA83" s="60"/>
      <c r="AB83" s="60" t="e">
        <f>IF(Z76,Z87,IF(AB76,AB87,Y83))</f>
        <v>#N/A</v>
      </c>
      <c r="AC83" s="60"/>
      <c r="AD83" s="60"/>
      <c r="AE83" s="60" t="e">
        <f>IF(AC76,AC87,IF(AE76,AE87,AB83))</f>
        <v>#N/A</v>
      </c>
      <c r="AF83" s="4"/>
      <c r="AG83" s="4"/>
      <c r="AJ83" s="4"/>
      <c r="AL83" s="4"/>
      <c r="AM83" s="4"/>
      <c r="AN83" s="4"/>
      <c r="AO83" s="4"/>
      <c r="AT83" s="55">
        <f>B83</f>
        <v>0</v>
      </c>
      <c r="AU83" s="55" t="e">
        <f>AE83</f>
        <v>#N/A</v>
      </c>
      <c r="AW83" s="59"/>
    </row>
    <row r="84" spans="1:49" s="55" customFormat="1" hidden="1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4"/>
      <c r="AG84" s="4"/>
      <c r="AJ84" s="4"/>
      <c r="AL84" s="4"/>
      <c r="AM84" s="4"/>
      <c r="AN84" s="4"/>
      <c r="AO84" s="4"/>
      <c r="AW84" s="59"/>
    </row>
    <row r="85" spans="1:49" s="55" customFormat="1" hidden="1" x14ac:dyDescent="0.25">
      <c r="A85" s="60" t="s">
        <v>96</v>
      </c>
      <c r="B85" s="60">
        <f>VLOOKUP(B24,$A79:$AE83,3,FALSE)</f>
        <v>1200</v>
      </c>
      <c r="C85" s="60">
        <v>1</v>
      </c>
      <c r="D85" s="60">
        <f>VLOOKUP(D24,$A79:$AE83,3,FALSE)</f>
        <v>1200</v>
      </c>
      <c r="E85" s="60">
        <f>VLOOKUP(E24,$A79:$AE83,4,FALSE)</f>
        <v>1200</v>
      </c>
      <c r="F85" s="60">
        <v>2</v>
      </c>
      <c r="G85" s="60">
        <f>VLOOKUP(G24,$A79:$AE83,4,FALSE)</f>
        <v>1200</v>
      </c>
      <c r="H85" s="60">
        <f>VLOOKUP(H24,$A79:$AE83,7,FALSE)</f>
        <v>1216</v>
      </c>
      <c r="I85" s="60">
        <v>3</v>
      </c>
      <c r="J85" s="60">
        <f>VLOOKUP(J24,$A79:$AE83,7,FALSE)</f>
        <v>1216</v>
      </c>
      <c r="K85" s="60">
        <f>VLOOKUP(K24,$A79:$AE83,10,FALSE)</f>
        <v>1184</v>
      </c>
      <c r="L85" s="60">
        <v>4</v>
      </c>
      <c r="M85" s="60">
        <f>VLOOKUP(M24,$A79:$AE83,10,FALSE)</f>
        <v>1184</v>
      </c>
      <c r="N85" s="60">
        <f>VLOOKUP(N24,$A79:$AE83,13,FALSE)</f>
        <v>1168</v>
      </c>
      <c r="O85" s="60">
        <v>5</v>
      </c>
      <c r="P85" s="60">
        <f>VLOOKUP(P24,$A79:$AE83,13,FALSE)</f>
        <v>1200</v>
      </c>
      <c r="Q85" s="60">
        <f>VLOOKUP(Q24,$A79:$AE83,16,FALSE)</f>
        <v>1200</v>
      </c>
      <c r="R85" s="60">
        <v>6</v>
      </c>
      <c r="S85" s="60">
        <f>VLOOKUP(S24,$A79:$AE83,16,FALSE)</f>
        <v>1232</v>
      </c>
      <c r="T85" s="60" t="e">
        <f>VLOOKUP(T24,$A79:$AE83,19,FALSE)</f>
        <v>#N/A</v>
      </c>
      <c r="U85" s="60">
        <v>7</v>
      </c>
      <c r="V85" s="60" t="e">
        <f>VLOOKUP(V24,$A79:$AE83,19,FALSE)</f>
        <v>#N/A</v>
      </c>
      <c r="W85" s="60" t="e">
        <f>VLOOKUP(W24,$A79:$AE83,22,FALSE)</f>
        <v>#N/A</v>
      </c>
      <c r="X85" s="60">
        <v>8</v>
      </c>
      <c r="Y85" s="60" t="e">
        <f>VLOOKUP(Y24,$A79:$AE83,22,FALSE)</f>
        <v>#N/A</v>
      </c>
      <c r="Z85" s="60" t="e">
        <f>VLOOKUP(Z24,$A79:$AE83,25,FALSE)</f>
        <v>#N/A</v>
      </c>
      <c r="AA85" s="60">
        <v>9</v>
      </c>
      <c r="AB85" s="60" t="e">
        <f>VLOOKUP(AB24,$A79:$AE83,25,FALSE)</f>
        <v>#N/A</v>
      </c>
      <c r="AC85" s="60" t="e">
        <f>VLOOKUP(AC24,$A79:$AE83,28,FALSE)</f>
        <v>#N/A</v>
      </c>
      <c r="AD85" s="60">
        <v>10</v>
      </c>
      <c r="AE85" s="60" t="e">
        <f>VLOOKUP(AE24,$A79:$AE83,28,FALSE)</f>
        <v>#N/A</v>
      </c>
      <c r="AF85" s="4"/>
      <c r="AG85" s="53"/>
      <c r="AH85" s="53"/>
      <c r="AI85" s="53"/>
      <c r="AJ85" s="53"/>
      <c r="AK85" s="53"/>
      <c r="AL85" s="53"/>
      <c r="AM85" s="53"/>
      <c r="AN85" s="54"/>
      <c r="AO85" s="54"/>
      <c r="AP85" s="54"/>
      <c r="AQ85" s="54"/>
      <c r="AW85" s="59"/>
    </row>
    <row r="86" spans="1:49" s="65" customFormat="1" hidden="1" x14ac:dyDescent="0.25">
      <c r="A86" s="61" t="s">
        <v>97</v>
      </c>
      <c r="B86" s="61">
        <f>1/(1+(10^-((B85-D85)/400)))*(B36+D36)</f>
        <v>0.5</v>
      </c>
      <c r="C86" s="61"/>
      <c r="D86" s="61">
        <f>1/(1+(10^-((D85-B85)/400)))*(B36+D36)</f>
        <v>0.5</v>
      </c>
      <c r="E86" s="61">
        <f>1/(1+(10^-((E85-G85)/400)))*(E36+G36)</f>
        <v>0.5</v>
      </c>
      <c r="F86" s="61"/>
      <c r="G86" s="61">
        <f>1/(1+(10^-((G85-E85)/400)))*(E36+G36)</f>
        <v>0.5</v>
      </c>
      <c r="H86" s="61">
        <f>1/(1+(10^-((H85-J85)/400)))*(H36+J36)</f>
        <v>0.5</v>
      </c>
      <c r="I86" s="61"/>
      <c r="J86" s="61">
        <f>1/(1+(10^-((J85-H85)/400)))*(H36+J36)</f>
        <v>0.5</v>
      </c>
      <c r="K86" s="61">
        <f>1/(1+(10^-((K85-M85)/400)))*(K36+M36)</f>
        <v>0.5</v>
      </c>
      <c r="L86" s="61"/>
      <c r="M86" s="61">
        <f>1/(1+(10^-((M85-K85)/400)))*(K36+M36)</f>
        <v>0.5</v>
      </c>
      <c r="N86" s="61">
        <f>1/(1+(10^-((N85-P85)/400)))*(N36+P36)</f>
        <v>0.45407807721951632</v>
      </c>
      <c r="O86" s="61"/>
      <c r="P86" s="61">
        <f>1/(1+(10^-((P85-N85)/400)))*(N36+P36)</f>
        <v>0.54592192278048368</v>
      </c>
      <c r="Q86" s="61">
        <f>1/(1+(10^-((Q85-S85)/400)))*(Q36+S36)</f>
        <v>0.45407807721951632</v>
      </c>
      <c r="R86" s="61"/>
      <c r="S86" s="61">
        <f>1/(1+(10^-((S85-Q85)/400)))*(Q36+S36)</f>
        <v>0.54592192278048368</v>
      </c>
      <c r="T86" s="61" t="e">
        <f>1/(1+(10^-((T85-V85)/400)))*(T36+V36)</f>
        <v>#N/A</v>
      </c>
      <c r="U86" s="61"/>
      <c r="V86" s="61" t="e">
        <f>1/(1+(10^-((V85-T85)/400)))*(T36+V36)</f>
        <v>#N/A</v>
      </c>
      <c r="W86" s="61" t="e">
        <f>1/(1+(10^-((W85-Y85)/400)))*(W36+Y36)</f>
        <v>#N/A</v>
      </c>
      <c r="X86" s="61"/>
      <c r="Y86" s="61" t="e">
        <f>1/(1+(10^-((Y85-W85)/400)))*(W36+Y36)</f>
        <v>#N/A</v>
      </c>
      <c r="Z86" s="61" t="e">
        <f>1/(1+(10^-((Z85-AB85)/400)))*(Z36+AB36)</f>
        <v>#N/A</v>
      </c>
      <c r="AA86" s="61"/>
      <c r="AB86" s="61" t="e">
        <f>1/(1+(10^-((AB85-Z85)/400)))*(Z36+AB36)</f>
        <v>#N/A</v>
      </c>
      <c r="AC86" s="61" t="e">
        <f>1/(1+(10^-((AC85-AE85)/400)))*(AC36+AE36)</f>
        <v>#N/A</v>
      </c>
      <c r="AD86" s="61"/>
      <c r="AE86" s="61" t="e">
        <f>1/(1+(10^-((AE85-AC85)/400)))*(AC36+AE36)</f>
        <v>#N/A</v>
      </c>
      <c r="AF86" s="62"/>
      <c r="AG86" s="63"/>
      <c r="AH86" s="63"/>
      <c r="AI86" s="63"/>
      <c r="AJ86" s="63"/>
      <c r="AK86" s="63"/>
      <c r="AL86" s="63"/>
      <c r="AM86" s="63"/>
      <c r="AN86" s="64"/>
      <c r="AO86" s="64"/>
      <c r="AP86" s="64"/>
      <c r="AQ86" s="64"/>
      <c r="AW86" s="66"/>
    </row>
    <row r="87" spans="1:49" s="71" customFormat="1" hidden="1" x14ac:dyDescent="0.25">
      <c r="A87" s="67" t="s">
        <v>98</v>
      </c>
      <c r="B87" s="67">
        <f>B85+(B36-B86)*$BA$1</f>
        <v>1216</v>
      </c>
      <c r="C87" s="67"/>
      <c r="D87" s="67">
        <f>D85+(D36-D86)*$BA$1</f>
        <v>1184</v>
      </c>
      <c r="E87" s="67">
        <f>E85+(E36-E86)*$BA$1</f>
        <v>1184</v>
      </c>
      <c r="F87" s="67"/>
      <c r="G87" s="67">
        <f>G85+(G36-G86)*$BA$1</f>
        <v>1216</v>
      </c>
      <c r="H87" s="67">
        <f>H85+(H36-H86)*$BA$1</f>
        <v>1232</v>
      </c>
      <c r="I87" s="67"/>
      <c r="J87" s="67">
        <f>J85+(J36-J86)*$BA$1</f>
        <v>1200</v>
      </c>
      <c r="K87" s="67">
        <f>K85+(K36-K86)*$BA$1</f>
        <v>1200</v>
      </c>
      <c r="L87" s="67"/>
      <c r="M87" s="67">
        <f>M85+(M36-M86)*$BA$1</f>
        <v>1168</v>
      </c>
      <c r="N87" s="67">
        <f>N85+(N36-N86)*$BA$1</f>
        <v>1153.4695015289756</v>
      </c>
      <c r="O87" s="67"/>
      <c r="P87" s="67">
        <f>P85+(P36-P86)*$BA$1</f>
        <v>1214.5304984710244</v>
      </c>
      <c r="Q87" s="67">
        <f>Q85+(Q36-Q86)*$BA$1</f>
        <v>1185.4695015289756</v>
      </c>
      <c r="R87" s="67"/>
      <c r="S87" s="67">
        <f>S85+(S36-S86)*$BA$1</f>
        <v>1246.5304984710244</v>
      </c>
      <c r="T87" s="67" t="e">
        <f>T85+(T36-T86)*$BA$1</f>
        <v>#N/A</v>
      </c>
      <c r="U87" s="67"/>
      <c r="V87" s="67" t="e">
        <f>V85+(V36-V86)*$BA$1</f>
        <v>#N/A</v>
      </c>
      <c r="W87" s="67" t="e">
        <f>W85+(W36-W86)*$BA$1</f>
        <v>#N/A</v>
      </c>
      <c r="X87" s="67"/>
      <c r="Y87" s="67" t="e">
        <f>Y85+(Y36-Y86)*$BA$1</f>
        <v>#N/A</v>
      </c>
      <c r="Z87" s="67" t="e">
        <f>Z85+(Z36-Z86)*$BA$1</f>
        <v>#N/A</v>
      </c>
      <c r="AA87" s="67"/>
      <c r="AB87" s="67" t="e">
        <f>AB85+(AB36-AB86)*$BA$1</f>
        <v>#N/A</v>
      </c>
      <c r="AC87" s="67" t="e">
        <f>AC85+(AC36-AC86)*$BA$1</f>
        <v>#N/A</v>
      </c>
      <c r="AD87" s="67"/>
      <c r="AE87" s="67" t="e">
        <f>AE85+(AE36-AE86)*$BA$1</f>
        <v>#N/A</v>
      </c>
      <c r="AF87" s="68"/>
      <c r="AG87" s="69"/>
      <c r="AH87" s="69"/>
      <c r="AI87" s="69"/>
      <c r="AJ87" s="69"/>
      <c r="AK87" s="69"/>
      <c r="AL87" s="69"/>
      <c r="AM87" s="69"/>
      <c r="AN87" s="70"/>
      <c r="AO87" s="70"/>
      <c r="AP87" s="70"/>
      <c r="AQ87" s="70"/>
      <c r="AW87" s="72"/>
    </row>
    <row r="88" spans="1:49" s="71" customFormat="1" hidden="1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8"/>
      <c r="AG88" s="69"/>
      <c r="AH88" s="69"/>
      <c r="AI88" s="69"/>
      <c r="AJ88" s="69"/>
      <c r="AK88" s="69"/>
      <c r="AL88" s="69"/>
      <c r="AM88" s="69"/>
      <c r="AN88" s="70"/>
      <c r="AO88" s="70"/>
      <c r="AP88" s="70"/>
      <c r="AQ88" s="70"/>
      <c r="AW88" s="72"/>
    </row>
    <row r="89" spans="1:49" s="55" customFormat="1" x14ac:dyDescent="0.25">
      <c r="A89" s="151" t="str">
        <f>IF($AK10=1,"Pool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Pool Tiereaker : 1) Matches Won vs Lost (if 3 way tie then #4)  2) Head to Head  3) Game Win %  4) Total Pool Net Points  5) Flip a Coin</v>
      </c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2"/>
      <c r="AO89" s="152"/>
      <c r="AP89" s="152"/>
      <c r="AQ89" s="152"/>
    </row>
    <row r="90" spans="1:49" s="55" customFormat="1" ht="13.8" thickBot="1" x14ac:dyDescent="0.3">
      <c r="A90" s="153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T90" s="4"/>
      <c r="AU90" s="4"/>
      <c r="AV90" s="4"/>
    </row>
    <row r="91" spans="1:49" ht="24" customHeight="1" thickBot="1" x14ac:dyDescent="0.3">
      <c r="A91" s="21" t="s">
        <v>26</v>
      </c>
      <c r="B91" s="22" t="s">
        <v>123</v>
      </c>
      <c r="C91" s="230" t="s">
        <v>28</v>
      </c>
      <c r="D91" s="231"/>
      <c r="E91" s="231"/>
      <c r="F91" s="231"/>
      <c r="G91" s="231"/>
      <c r="H91" s="232"/>
      <c r="I91" s="233">
        <v>2</v>
      </c>
      <c r="J91" s="234"/>
      <c r="K91" s="235" t="str">
        <f>"Pool "&amp;B91&amp;" - Round 1 - Court "&amp;I91</f>
        <v>Pool B - Round 1 - Court 2</v>
      </c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7"/>
      <c r="AJ91" s="6"/>
      <c r="AK91" s="6"/>
      <c r="AL91" s="6"/>
      <c r="AM91" s="6"/>
      <c r="AN91" s="6"/>
      <c r="AO91" s="6"/>
      <c r="AP91" s="6"/>
      <c r="AQ91" s="6"/>
    </row>
    <row r="92" spans="1:49" ht="27" customHeight="1" thickBot="1" x14ac:dyDescent="0.3">
      <c r="A92" s="23" t="s">
        <v>31</v>
      </c>
      <c r="B92" s="238" t="s">
        <v>8</v>
      </c>
      <c r="C92" s="239"/>
      <c r="D92" s="239"/>
      <c r="E92" s="239"/>
      <c r="F92" s="239"/>
      <c r="G92" s="239"/>
      <c r="H92" s="239"/>
      <c r="I92" s="239"/>
      <c r="J92" s="239"/>
      <c r="K92" s="239"/>
      <c r="L92" s="238" t="str">
        <f>IF($AK95=0,"Games Won","Matches Won")</f>
        <v>Matches Won</v>
      </c>
      <c r="M92" s="239"/>
      <c r="N92" s="239"/>
      <c r="O92" s="239"/>
      <c r="P92" s="239"/>
      <c r="Q92" s="240"/>
      <c r="R92" s="238" t="str">
        <f>IF($AK95=0,"Games Lost","Matches Lost")</f>
        <v>Matches Lost</v>
      </c>
      <c r="S92" s="241"/>
      <c r="T92" s="241"/>
      <c r="U92" s="241"/>
      <c r="V92" s="242"/>
      <c r="W92" s="243" t="s">
        <v>32</v>
      </c>
      <c r="X92" s="244"/>
      <c r="Y92" s="245"/>
      <c r="Z92" s="243" t="s">
        <v>33</v>
      </c>
      <c r="AA92" s="244"/>
      <c r="AB92" s="245"/>
      <c r="AC92" s="246" t="s">
        <v>34</v>
      </c>
      <c r="AD92" s="247"/>
      <c r="AE92" s="248"/>
      <c r="AF92" s="24" t="s">
        <v>35</v>
      </c>
      <c r="AG92" s="25" t="s">
        <v>7</v>
      </c>
      <c r="AH92" s="228" t="s">
        <v>36</v>
      </c>
      <c r="AI92" s="229"/>
      <c r="AJ92" s="26"/>
      <c r="AK92" s="27">
        <v>1</v>
      </c>
      <c r="AL92" s="28" t="s">
        <v>37</v>
      </c>
      <c r="AM92" s="28"/>
      <c r="AN92" s="28"/>
      <c r="AO92" s="28"/>
      <c r="AP92" s="28"/>
      <c r="AQ92" s="28"/>
      <c r="AR92" s="29"/>
    </row>
    <row r="93" spans="1:49" ht="18.75" customHeight="1" x14ac:dyDescent="0.25">
      <c r="A93" s="194" t="str">
        <f>IF($AK94&gt;0,"1","")</f>
        <v>1</v>
      </c>
      <c r="B93" s="225" t="s">
        <v>8</v>
      </c>
      <c r="C93" s="226"/>
      <c r="D93" s="227"/>
      <c r="E93" s="217" t="str">
        <f>AU4</f>
        <v>PSVC 11/12 Megan</v>
      </c>
      <c r="F93" s="218"/>
      <c r="G93" s="218"/>
      <c r="H93" s="218"/>
      <c r="I93" s="218"/>
      <c r="J93" s="218"/>
      <c r="K93" s="219"/>
      <c r="L93" s="201">
        <f>IF($AK95=0,AF149,AF131)</f>
        <v>2</v>
      </c>
      <c r="M93" s="202"/>
      <c r="N93" s="202"/>
      <c r="O93" s="202"/>
      <c r="P93" s="202"/>
      <c r="Q93" s="240"/>
      <c r="R93" s="201">
        <f>IF($AK95=0,AG149,AG131)</f>
        <v>1</v>
      </c>
      <c r="S93" s="202"/>
      <c r="T93" s="202"/>
      <c r="U93" s="202"/>
      <c r="V93" s="202"/>
      <c r="W93" s="201">
        <f>AQ109</f>
        <v>-5</v>
      </c>
      <c r="X93" s="202"/>
      <c r="Y93" s="202"/>
      <c r="Z93" s="174">
        <f>IF(AF143&gt;0,(AQ109/AF143),0)</f>
        <v>-5.4945054945054944E-2</v>
      </c>
      <c r="AA93" s="175"/>
      <c r="AB93" s="175"/>
      <c r="AC93" s="178">
        <f>IF(AF157=0,0,(AF149/AF157))</f>
        <v>0.66666666666666663</v>
      </c>
      <c r="AD93" s="179"/>
      <c r="AE93" s="180"/>
      <c r="AF93" s="184">
        <v>1</v>
      </c>
      <c r="AG93" s="184">
        <v>1</v>
      </c>
      <c r="AH93" s="186"/>
      <c r="AI93" s="187"/>
      <c r="AJ93" s="26"/>
      <c r="AK93" s="27">
        <v>6</v>
      </c>
      <c r="AL93" s="28" t="s">
        <v>38</v>
      </c>
      <c r="AM93" s="28"/>
      <c r="AN93" s="28"/>
      <c r="AO93" s="28"/>
      <c r="AP93" s="28"/>
      <c r="AQ93" s="28"/>
      <c r="AR93" s="29"/>
    </row>
    <row r="94" spans="1:49" ht="18.75" customHeight="1" thickBot="1" x14ac:dyDescent="0.3">
      <c r="A94" s="195"/>
      <c r="B94" s="222" t="s">
        <v>9</v>
      </c>
      <c r="C94" s="223"/>
      <c r="D94" s="224"/>
      <c r="E94" s="215" t="str">
        <f>AV4</f>
        <v>FJ2PSTRI4PM</v>
      </c>
      <c r="F94" s="216"/>
      <c r="G94" s="216"/>
      <c r="H94" s="216"/>
      <c r="I94" s="216"/>
      <c r="J94" s="216"/>
      <c r="K94" s="216"/>
      <c r="L94" s="220"/>
      <c r="M94" s="221"/>
      <c r="N94" s="221"/>
      <c r="O94" s="221"/>
      <c r="P94" s="221"/>
      <c r="Q94" s="240"/>
      <c r="R94" s="220"/>
      <c r="S94" s="221"/>
      <c r="T94" s="221"/>
      <c r="U94" s="221"/>
      <c r="V94" s="221"/>
      <c r="W94" s="220"/>
      <c r="X94" s="221"/>
      <c r="Y94" s="221"/>
      <c r="Z94" s="205"/>
      <c r="AA94" s="206"/>
      <c r="AB94" s="206"/>
      <c r="AC94" s="207"/>
      <c r="AD94" s="208"/>
      <c r="AE94" s="209"/>
      <c r="AF94" s="210"/>
      <c r="AG94" s="210"/>
      <c r="AH94" s="211"/>
      <c r="AI94" s="212"/>
      <c r="AJ94" s="26"/>
      <c r="AK94" s="27">
        <v>4</v>
      </c>
      <c r="AL94" s="28" t="s">
        <v>39</v>
      </c>
      <c r="AM94" s="26"/>
      <c r="AN94" s="26"/>
      <c r="AO94" s="26"/>
      <c r="AP94" s="26"/>
      <c r="AQ94" s="26"/>
      <c r="AR94" s="3"/>
    </row>
    <row r="95" spans="1:49" ht="18.75" customHeight="1" x14ac:dyDescent="0.25">
      <c r="A95" s="194" t="str">
        <f>IF($AK94&gt;1,"2","")</f>
        <v>2</v>
      </c>
      <c r="B95" s="225" t="s">
        <v>8</v>
      </c>
      <c r="C95" s="226"/>
      <c r="D95" s="227"/>
      <c r="E95" s="217" t="str">
        <f>AU5</f>
        <v>SC Midlands KP Black</v>
      </c>
      <c r="F95" s="218"/>
      <c r="G95" s="218"/>
      <c r="H95" s="218"/>
      <c r="I95" s="218"/>
      <c r="J95" s="218"/>
      <c r="K95" s="219"/>
      <c r="L95" s="201">
        <f>IF($AK95=0,AF150,AF132)</f>
        <v>1</v>
      </c>
      <c r="M95" s="202"/>
      <c r="N95" s="202"/>
      <c r="O95" s="202"/>
      <c r="P95" s="202"/>
      <c r="Q95" s="240"/>
      <c r="R95" s="201">
        <f>IF($AK95=0,AG150,AG132)</f>
        <v>2</v>
      </c>
      <c r="S95" s="202"/>
      <c r="T95" s="202"/>
      <c r="U95" s="202"/>
      <c r="V95" s="202"/>
      <c r="W95" s="201">
        <f>AQ110</f>
        <v>15</v>
      </c>
      <c r="X95" s="202"/>
      <c r="Y95" s="202"/>
      <c r="Z95" s="174">
        <f>IF(AF144&gt;0,(AQ110/AF144),0)</f>
        <v>0.17647058823529413</v>
      </c>
      <c r="AA95" s="175"/>
      <c r="AB95" s="175"/>
      <c r="AC95" s="178">
        <f>IF(AF158=0,0,(AF150/AF158))</f>
        <v>0.33333333333333331</v>
      </c>
      <c r="AD95" s="179"/>
      <c r="AE95" s="180"/>
      <c r="AF95" s="184">
        <v>3</v>
      </c>
      <c r="AG95" s="184">
        <v>1</v>
      </c>
      <c r="AH95" s="186"/>
      <c r="AI95" s="187"/>
      <c r="AJ95" s="26"/>
      <c r="AK95" s="27">
        <v>1</v>
      </c>
      <c r="AL95" s="28" t="s">
        <v>42</v>
      </c>
      <c r="AM95" s="28"/>
      <c r="AN95" s="28"/>
      <c r="AO95" s="28"/>
      <c r="AP95" s="28"/>
      <c r="AQ95" s="28"/>
      <c r="AR95" s="29"/>
    </row>
    <row r="96" spans="1:49" ht="18.75" customHeight="1" thickBot="1" x14ac:dyDescent="0.3">
      <c r="A96" s="195"/>
      <c r="B96" s="213" t="s">
        <v>9</v>
      </c>
      <c r="C96" s="214"/>
      <c r="D96" s="214"/>
      <c r="E96" s="215" t="str">
        <f>AV5</f>
        <v>FJ2SCMID2PM</v>
      </c>
      <c r="F96" s="216"/>
      <c r="G96" s="216"/>
      <c r="H96" s="216"/>
      <c r="I96" s="216"/>
      <c r="J96" s="216"/>
      <c r="K96" s="216"/>
      <c r="L96" s="220"/>
      <c r="M96" s="221"/>
      <c r="N96" s="221"/>
      <c r="O96" s="221"/>
      <c r="P96" s="221"/>
      <c r="Q96" s="240"/>
      <c r="R96" s="220"/>
      <c r="S96" s="221"/>
      <c r="T96" s="221"/>
      <c r="U96" s="221"/>
      <c r="V96" s="221"/>
      <c r="W96" s="220"/>
      <c r="X96" s="221"/>
      <c r="Y96" s="221"/>
      <c r="Z96" s="205"/>
      <c r="AA96" s="206"/>
      <c r="AB96" s="206"/>
      <c r="AC96" s="207"/>
      <c r="AD96" s="208"/>
      <c r="AE96" s="209"/>
      <c r="AF96" s="210"/>
      <c r="AG96" s="210"/>
      <c r="AH96" s="211"/>
      <c r="AI96" s="212"/>
      <c r="AJ96" s="26"/>
      <c r="AK96" s="27">
        <v>1</v>
      </c>
      <c r="AL96" s="28" t="s">
        <v>44</v>
      </c>
      <c r="AM96" s="26"/>
      <c r="AN96" s="26"/>
      <c r="AO96" s="26"/>
      <c r="AP96" s="26"/>
      <c r="AQ96" s="26"/>
      <c r="AR96" s="3"/>
    </row>
    <row r="97" spans="1:44" ht="18.75" customHeight="1" x14ac:dyDescent="0.25">
      <c r="A97" s="194" t="str">
        <f>IF($AK94&gt;2,"3","")</f>
        <v>3</v>
      </c>
      <c r="B97" s="196" t="s">
        <v>8</v>
      </c>
      <c r="C97" s="197"/>
      <c r="D97" s="197"/>
      <c r="E97" s="217" t="str">
        <f>AU8</f>
        <v>Foothills 12 Kim</v>
      </c>
      <c r="F97" s="218"/>
      <c r="G97" s="218"/>
      <c r="H97" s="218"/>
      <c r="I97" s="218"/>
      <c r="J97" s="218"/>
      <c r="K97" s="219"/>
      <c r="L97" s="201">
        <f>IF($AK95=0,AF151,AF133)</f>
        <v>2</v>
      </c>
      <c r="M97" s="202"/>
      <c r="N97" s="202"/>
      <c r="O97" s="202"/>
      <c r="P97" s="202"/>
      <c r="Q97" s="240"/>
      <c r="R97" s="201">
        <f>IF($AK95=0,AG151,AG133)</f>
        <v>1</v>
      </c>
      <c r="S97" s="202"/>
      <c r="T97" s="202"/>
      <c r="U97" s="202"/>
      <c r="V97" s="202"/>
      <c r="W97" s="201">
        <f>AQ111</f>
        <v>9</v>
      </c>
      <c r="X97" s="202"/>
      <c r="Y97" s="202"/>
      <c r="Z97" s="174">
        <f>IF(AF145&gt;0,(AQ111/AF145),0)</f>
        <v>9.2783505154639179E-2</v>
      </c>
      <c r="AA97" s="175"/>
      <c r="AB97" s="175"/>
      <c r="AC97" s="178">
        <f>IF(AF159=0,0,(AF151/AF159))</f>
        <v>0.66666666666666663</v>
      </c>
      <c r="AD97" s="179"/>
      <c r="AE97" s="180"/>
      <c r="AF97" s="184">
        <v>2</v>
      </c>
      <c r="AG97" s="184">
        <v>1</v>
      </c>
      <c r="AH97" s="186"/>
      <c r="AI97" s="187"/>
      <c r="AJ97" s="30"/>
      <c r="AK97" s="27">
        <v>4</v>
      </c>
      <c r="AL97" s="31" t="s">
        <v>45</v>
      </c>
      <c r="AM97" s="28"/>
      <c r="AN97" s="28"/>
      <c r="AO97" s="28"/>
      <c r="AP97" s="28"/>
      <c r="AQ97" s="28"/>
      <c r="AR97" s="29"/>
    </row>
    <row r="98" spans="1:44" ht="18.75" customHeight="1" thickBot="1" x14ac:dyDescent="0.3">
      <c r="A98" s="195"/>
      <c r="B98" s="213" t="s">
        <v>9</v>
      </c>
      <c r="C98" s="214"/>
      <c r="D98" s="214"/>
      <c r="E98" s="215" t="str">
        <f>AV8</f>
        <v>FJ2FOOTH3PM</v>
      </c>
      <c r="F98" s="216"/>
      <c r="G98" s="216"/>
      <c r="H98" s="216"/>
      <c r="I98" s="216"/>
      <c r="J98" s="216"/>
      <c r="K98" s="216"/>
      <c r="L98" s="220"/>
      <c r="M98" s="221"/>
      <c r="N98" s="221"/>
      <c r="O98" s="221"/>
      <c r="P98" s="221"/>
      <c r="Q98" s="240"/>
      <c r="R98" s="220"/>
      <c r="S98" s="221"/>
      <c r="T98" s="221"/>
      <c r="U98" s="221"/>
      <c r="V98" s="221"/>
      <c r="W98" s="220"/>
      <c r="X98" s="221"/>
      <c r="Y98" s="221"/>
      <c r="Z98" s="205"/>
      <c r="AA98" s="206"/>
      <c r="AB98" s="206"/>
      <c r="AC98" s="207"/>
      <c r="AD98" s="208"/>
      <c r="AE98" s="209"/>
      <c r="AF98" s="210"/>
      <c r="AG98" s="210"/>
      <c r="AH98" s="211"/>
      <c r="AI98" s="212"/>
      <c r="AJ98" s="30"/>
      <c r="AK98" s="32"/>
      <c r="AL98" s="33"/>
      <c r="AM98" s="33"/>
      <c r="AN98" s="33"/>
      <c r="AO98" s="33"/>
      <c r="AP98" s="33"/>
      <c r="AQ98" s="26"/>
      <c r="AR98" s="3"/>
    </row>
    <row r="99" spans="1:44" ht="18.75" customHeight="1" x14ac:dyDescent="0.25">
      <c r="A99" s="194" t="str">
        <f>IF($AK94&gt;3,"4","")</f>
        <v>4</v>
      </c>
      <c r="B99" s="196" t="s">
        <v>8</v>
      </c>
      <c r="C99" s="197"/>
      <c r="D99" s="197"/>
      <c r="E99" s="217" t="str">
        <f>AU9</f>
        <v>USA 12's Pink</v>
      </c>
      <c r="F99" s="218"/>
      <c r="G99" s="218"/>
      <c r="H99" s="218"/>
      <c r="I99" s="218"/>
      <c r="J99" s="218"/>
      <c r="K99" s="219"/>
      <c r="L99" s="201">
        <f>IF($AK95=0,AF152,AF134)</f>
        <v>1</v>
      </c>
      <c r="M99" s="202"/>
      <c r="N99" s="202"/>
      <c r="O99" s="202"/>
      <c r="P99" s="202"/>
      <c r="Q99" s="240"/>
      <c r="R99" s="201">
        <f>IF($AK95=0,AG152,AG134)</f>
        <v>2</v>
      </c>
      <c r="S99" s="202"/>
      <c r="T99" s="202"/>
      <c r="U99" s="202"/>
      <c r="V99" s="202"/>
      <c r="W99" s="201">
        <f>AQ112</f>
        <v>-19</v>
      </c>
      <c r="X99" s="202"/>
      <c r="Y99" s="202"/>
      <c r="Z99" s="174">
        <f>IF(AF146&gt;0,(AQ112/AF146),0)</f>
        <v>-0.22352941176470589</v>
      </c>
      <c r="AA99" s="175"/>
      <c r="AB99" s="175"/>
      <c r="AC99" s="178">
        <f>IF(AF160=0,0,(AF152/AF160))</f>
        <v>0.33333333333333331</v>
      </c>
      <c r="AD99" s="179"/>
      <c r="AE99" s="180"/>
      <c r="AF99" s="184"/>
      <c r="AG99" s="184"/>
      <c r="AH99" s="186"/>
      <c r="AI99" s="187"/>
      <c r="AJ99" s="6"/>
      <c r="AK99" s="33"/>
      <c r="AL99" s="33"/>
      <c r="AM99" s="33"/>
      <c r="AN99" s="33"/>
      <c r="AO99" s="33"/>
      <c r="AP99" s="33"/>
      <c r="AQ99" s="28"/>
      <c r="AR99" s="29"/>
    </row>
    <row r="100" spans="1:44" ht="18.75" customHeight="1" thickBot="1" x14ac:dyDescent="0.3">
      <c r="A100" s="195"/>
      <c r="B100" s="213" t="s">
        <v>9</v>
      </c>
      <c r="C100" s="214"/>
      <c r="D100" s="214"/>
      <c r="E100" s="215" t="str">
        <f>AV9</f>
        <v>FJ2UNSEL3CR</v>
      </c>
      <c r="F100" s="216"/>
      <c r="G100" s="216"/>
      <c r="H100" s="216"/>
      <c r="I100" s="216"/>
      <c r="J100" s="216"/>
      <c r="K100" s="216"/>
      <c r="L100" s="220"/>
      <c r="M100" s="221"/>
      <c r="N100" s="221"/>
      <c r="O100" s="221"/>
      <c r="P100" s="221"/>
      <c r="Q100" s="240"/>
      <c r="R100" s="220"/>
      <c r="S100" s="221"/>
      <c r="T100" s="221"/>
      <c r="U100" s="221"/>
      <c r="V100" s="221"/>
      <c r="W100" s="220"/>
      <c r="X100" s="221"/>
      <c r="Y100" s="221"/>
      <c r="Z100" s="205"/>
      <c r="AA100" s="206"/>
      <c r="AB100" s="206"/>
      <c r="AC100" s="207"/>
      <c r="AD100" s="208"/>
      <c r="AE100" s="209"/>
      <c r="AF100" s="210"/>
      <c r="AG100" s="210"/>
      <c r="AH100" s="211"/>
      <c r="AI100" s="212"/>
      <c r="AJ100" s="6"/>
      <c r="AK100" s="33"/>
      <c r="AL100" s="33"/>
      <c r="AM100" s="33"/>
      <c r="AN100" s="33"/>
      <c r="AO100" s="33"/>
      <c r="AP100" s="33"/>
      <c r="AQ100" s="6"/>
      <c r="AR100" s="3"/>
    </row>
    <row r="101" spans="1:44" ht="18.75" customHeight="1" x14ac:dyDescent="0.25">
      <c r="A101" s="194" t="str">
        <f>IF($AK94&gt;4,"5","")</f>
        <v/>
      </c>
      <c r="B101" s="196" t="s">
        <v>8</v>
      </c>
      <c r="C101" s="197"/>
      <c r="D101" s="197"/>
      <c r="E101" s="198">
        <f>AU20</f>
        <v>0</v>
      </c>
      <c r="F101" s="199"/>
      <c r="G101" s="199"/>
      <c r="H101" s="199"/>
      <c r="I101" s="199"/>
      <c r="J101" s="199"/>
      <c r="K101" s="200"/>
      <c r="L101" s="201">
        <f>IF($AK95=0,AF153,AF135)</f>
        <v>0</v>
      </c>
      <c r="M101" s="202"/>
      <c r="N101" s="202"/>
      <c r="O101" s="202"/>
      <c r="P101" s="202"/>
      <c r="Q101" s="240"/>
      <c r="R101" s="201">
        <f>IF($AK95=0,AG153,AG135)</f>
        <v>0</v>
      </c>
      <c r="S101" s="202"/>
      <c r="T101" s="202"/>
      <c r="U101" s="202"/>
      <c r="V101" s="202"/>
      <c r="W101" s="201">
        <f>AQ113</f>
        <v>0</v>
      </c>
      <c r="X101" s="202"/>
      <c r="Y101" s="202"/>
      <c r="Z101" s="174">
        <f>IF(AF147&gt;0,(AQ113/AF147),0)</f>
        <v>0</v>
      </c>
      <c r="AA101" s="175"/>
      <c r="AB101" s="175"/>
      <c r="AC101" s="178">
        <f>IF(AF161=0,0,(AF153/AF161))</f>
        <v>0</v>
      </c>
      <c r="AD101" s="179"/>
      <c r="AE101" s="180"/>
      <c r="AF101" s="184"/>
      <c r="AG101" s="184"/>
      <c r="AH101" s="186"/>
      <c r="AI101" s="187"/>
      <c r="AJ101" s="6"/>
      <c r="AK101" s="33"/>
      <c r="AL101" s="33"/>
      <c r="AM101" s="33"/>
      <c r="AN101" s="33"/>
      <c r="AO101" s="33"/>
      <c r="AP101" s="33"/>
      <c r="AQ101" s="6"/>
      <c r="AR101" s="3"/>
    </row>
    <row r="102" spans="1:44" ht="18.75" customHeight="1" thickBot="1" x14ac:dyDescent="0.3">
      <c r="A102" s="195"/>
      <c r="B102" s="190" t="s">
        <v>9</v>
      </c>
      <c r="C102" s="191"/>
      <c r="D102" s="191"/>
      <c r="E102" s="192">
        <f>AV20</f>
        <v>0</v>
      </c>
      <c r="F102" s="193"/>
      <c r="G102" s="193"/>
      <c r="H102" s="193"/>
      <c r="I102" s="193"/>
      <c r="J102" s="193"/>
      <c r="K102" s="193"/>
      <c r="L102" s="203"/>
      <c r="M102" s="204"/>
      <c r="N102" s="204"/>
      <c r="O102" s="204"/>
      <c r="P102" s="204"/>
      <c r="Q102" s="240"/>
      <c r="R102" s="203"/>
      <c r="S102" s="204"/>
      <c r="T102" s="204"/>
      <c r="U102" s="204"/>
      <c r="V102" s="204"/>
      <c r="W102" s="203"/>
      <c r="X102" s="204"/>
      <c r="Y102" s="204"/>
      <c r="Z102" s="176"/>
      <c r="AA102" s="177"/>
      <c r="AB102" s="177"/>
      <c r="AC102" s="181"/>
      <c r="AD102" s="182"/>
      <c r="AE102" s="183"/>
      <c r="AF102" s="185"/>
      <c r="AG102" s="185"/>
      <c r="AH102" s="188"/>
      <c r="AI102" s="189"/>
      <c r="AJ102" s="6"/>
      <c r="AK102" s="33"/>
      <c r="AL102" s="33"/>
      <c r="AM102" s="33"/>
      <c r="AN102" s="33"/>
      <c r="AO102" s="33"/>
      <c r="AP102" s="33"/>
      <c r="AQ102" s="6"/>
      <c r="AR102" s="3"/>
    </row>
    <row r="103" spans="1:44" ht="21" customHeight="1" thickTop="1" thickBot="1" x14ac:dyDescent="0.3">
      <c r="A103" s="34"/>
      <c r="B103" s="171" t="s">
        <v>100</v>
      </c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3"/>
      <c r="AJ103" s="6"/>
      <c r="AK103" s="33"/>
      <c r="AL103" s="33"/>
      <c r="AM103" s="33"/>
      <c r="AN103" s="33"/>
      <c r="AO103" s="33"/>
      <c r="AP103" s="33"/>
      <c r="AQ103" s="6"/>
      <c r="AR103" s="3"/>
    </row>
    <row r="104" spans="1:44" ht="13.8" thickTop="1" x14ac:dyDescent="0.25">
      <c r="A104" s="4" t="s">
        <v>47</v>
      </c>
      <c r="B104" s="160">
        <v>6.25E-2</v>
      </c>
      <c r="C104" s="161"/>
      <c r="D104" s="162"/>
      <c r="E104" s="160">
        <v>8.3333333333333329E-2</v>
      </c>
      <c r="F104" s="161"/>
      <c r="G104" s="162"/>
      <c r="H104" s="160">
        <v>0.10416666666666667</v>
      </c>
      <c r="I104" s="161"/>
      <c r="J104" s="162"/>
      <c r="K104" s="160"/>
      <c r="L104" s="161"/>
      <c r="M104" s="162"/>
      <c r="N104" s="160"/>
      <c r="O104" s="161"/>
      <c r="P104" s="162"/>
      <c r="Q104" s="160"/>
      <c r="R104" s="161"/>
      <c r="S104" s="162"/>
      <c r="T104" s="160"/>
      <c r="U104" s="161"/>
      <c r="V104" s="162"/>
      <c r="W104" s="160"/>
      <c r="X104" s="161"/>
      <c r="Y104" s="162"/>
      <c r="Z104" s="160"/>
      <c r="AA104" s="161"/>
      <c r="AB104" s="162"/>
      <c r="AC104" s="160"/>
      <c r="AD104" s="161"/>
      <c r="AE104" s="162"/>
      <c r="AF104" s="163" t="s">
        <v>48</v>
      </c>
      <c r="AG104" s="164"/>
      <c r="AH104" s="164"/>
      <c r="AI104" s="164"/>
      <c r="AJ104" s="165"/>
      <c r="AK104" s="165"/>
      <c r="AL104" s="165"/>
      <c r="AM104" s="165"/>
      <c r="AN104" s="165"/>
      <c r="AO104" s="165"/>
      <c r="AP104" s="165"/>
      <c r="AQ104" s="166"/>
    </row>
    <row r="105" spans="1:44" x14ac:dyDescent="0.25">
      <c r="A105" s="35" t="s">
        <v>49</v>
      </c>
      <c r="B105" s="157"/>
      <c r="C105" s="158"/>
      <c r="D105" s="159"/>
      <c r="E105" s="157"/>
      <c r="F105" s="158"/>
      <c r="G105" s="159"/>
      <c r="H105" s="157"/>
      <c r="I105" s="158"/>
      <c r="J105" s="159"/>
      <c r="K105" s="157"/>
      <c r="L105" s="158"/>
      <c r="M105" s="159"/>
      <c r="N105" s="157"/>
      <c r="O105" s="158"/>
      <c r="P105" s="159"/>
      <c r="Q105" s="157"/>
      <c r="R105" s="158"/>
      <c r="S105" s="159"/>
      <c r="T105" s="157"/>
      <c r="U105" s="158"/>
      <c r="V105" s="159"/>
      <c r="W105" s="157"/>
      <c r="X105" s="158"/>
      <c r="Y105" s="159"/>
      <c r="Z105" s="157"/>
      <c r="AA105" s="158"/>
      <c r="AB105" s="159"/>
      <c r="AC105" s="157"/>
      <c r="AD105" s="158"/>
      <c r="AE105" s="159"/>
      <c r="AF105" s="163"/>
      <c r="AG105" s="164"/>
      <c r="AH105" s="164"/>
      <c r="AI105" s="164"/>
      <c r="AJ105" s="164"/>
      <c r="AK105" s="164"/>
      <c r="AL105" s="164"/>
      <c r="AM105" s="164"/>
      <c r="AN105" s="164"/>
      <c r="AO105" s="164"/>
      <c r="AP105" s="164"/>
      <c r="AQ105" s="167"/>
    </row>
    <row r="106" spans="1:44" x14ac:dyDescent="0.25">
      <c r="A106" s="35" t="s">
        <v>50</v>
      </c>
      <c r="B106" s="157"/>
      <c r="C106" s="158"/>
      <c r="D106" s="159"/>
      <c r="E106" s="157"/>
      <c r="F106" s="158"/>
      <c r="G106" s="159"/>
      <c r="H106" s="157"/>
      <c r="I106" s="158"/>
      <c r="J106" s="159"/>
      <c r="K106" s="157"/>
      <c r="L106" s="158"/>
      <c r="M106" s="159"/>
      <c r="N106" s="157"/>
      <c r="O106" s="158"/>
      <c r="P106" s="159"/>
      <c r="Q106" s="157"/>
      <c r="R106" s="158"/>
      <c r="S106" s="159"/>
      <c r="T106" s="157"/>
      <c r="U106" s="158"/>
      <c r="V106" s="159"/>
      <c r="W106" s="157"/>
      <c r="X106" s="158"/>
      <c r="Y106" s="159"/>
      <c r="Z106" s="157"/>
      <c r="AA106" s="158"/>
      <c r="AB106" s="159"/>
      <c r="AC106" s="157"/>
      <c r="AD106" s="158"/>
      <c r="AE106" s="159"/>
      <c r="AF106" s="163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7"/>
    </row>
    <row r="107" spans="1:44" ht="13.8" thickBot="1" x14ac:dyDescent="0.3">
      <c r="A107" s="6"/>
      <c r="B107" s="154" t="s">
        <v>51</v>
      </c>
      <c r="C107" s="155"/>
      <c r="D107" s="156"/>
      <c r="E107" s="154" t="str">
        <f>IF(AK93&gt;1,"Match 2","")</f>
        <v>Match 2</v>
      </c>
      <c r="F107" s="155"/>
      <c r="G107" s="156"/>
      <c r="H107" s="154" t="str">
        <f>IF(AK93&gt;2,"Match 3","")</f>
        <v>Match 3</v>
      </c>
      <c r="I107" s="155"/>
      <c r="J107" s="156"/>
      <c r="K107" s="154" t="str">
        <f>IF(AK93&gt;3,"Match 4","")</f>
        <v>Match 4</v>
      </c>
      <c r="L107" s="155"/>
      <c r="M107" s="156"/>
      <c r="N107" s="154" t="str">
        <f>IF(AK93&gt;4,"Match 5","")</f>
        <v>Match 5</v>
      </c>
      <c r="O107" s="155"/>
      <c r="P107" s="156"/>
      <c r="Q107" s="154" t="str">
        <f>IF(AK93&gt;5,"Match 6","")</f>
        <v>Match 6</v>
      </c>
      <c r="R107" s="155"/>
      <c r="S107" s="156"/>
      <c r="T107" s="154" t="str">
        <f>IF(AK93&gt;6,"Match 7","")</f>
        <v/>
      </c>
      <c r="U107" s="155"/>
      <c r="V107" s="156"/>
      <c r="W107" s="154" t="str">
        <f>IF(AK93&gt;7,"Match 8","")</f>
        <v/>
      </c>
      <c r="X107" s="155"/>
      <c r="Y107" s="156"/>
      <c r="Z107" s="154" t="str">
        <f>IF(AK93&gt;8,"Match 9","")</f>
        <v/>
      </c>
      <c r="AA107" s="155"/>
      <c r="AB107" s="156"/>
      <c r="AC107" s="154" t="str">
        <f>IF(AK93&gt;9,"Match 10","")</f>
        <v/>
      </c>
      <c r="AD107" s="155"/>
      <c r="AE107" s="156"/>
      <c r="AF107" s="168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70"/>
    </row>
    <row r="108" spans="1:44" ht="15.6" x14ac:dyDescent="0.3">
      <c r="A108" s="6"/>
      <c r="B108" s="147" t="s">
        <v>53</v>
      </c>
      <c r="C108" s="148"/>
      <c r="D108" s="149"/>
      <c r="E108" s="147" t="s">
        <v>52</v>
      </c>
      <c r="F108" s="148"/>
      <c r="G108" s="149"/>
      <c r="H108" s="147" t="s">
        <v>54</v>
      </c>
      <c r="I108" s="148"/>
      <c r="J108" s="149"/>
      <c r="K108" s="147" t="s">
        <v>55</v>
      </c>
      <c r="L108" s="148"/>
      <c r="M108" s="149"/>
      <c r="N108" s="147" t="s">
        <v>52</v>
      </c>
      <c r="O108" s="148"/>
      <c r="P108" s="149"/>
      <c r="Q108" s="147" t="s">
        <v>54</v>
      </c>
      <c r="R108" s="148"/>
      <c r="S108" s="149"/>
      <c r="T108" s="147"/>
      <c r="U108" s="148"/>
      <c r="V108" s="149"/>
      <c r="W108" s="147"/>
      <c r="X108" s="148"/>
      <c r="Y108" s="149"/>
      <c r="Z108" s="147"/>
      <c r="AA108" s="148"/>
      <c r="AB108" s="149"/>
      <c r="AC108" s="147"/>
      <c r="AD108" s="148"/>
      <c r="AE108" s="149"/>
      <c r="AF108" s="36" t="s">
        <v>56</v>
      </c>
      <c r="AG108" s="37">
        <v>1</v>
      </c>
      <c r="AH108" s="37">
        <v>2</v>
      </c>
      <c r="AI108" s="37">
        <v>3</v>
      </c>
      <c r="AJ108" s="37">
        <v>4</v>
      </c>
      <c r="AK108" s="37">
        <v>5</v>
      </c>
      <c r="AL108" s="37">
        <v>6</v>
      </c>
      <c r="AM108" s="37">
        <v>7</v>
      </c>
      <c r="AN108" s="37">
        <v>8</v>
      </c>
      <c r="AO108" s="37">
        <v>9</v>
      </c>
      <c r="AP108" s="37">
        <v>10</v>
      </c>
      <c r="AQ108" s="38" t="s">
        <v>57</v>
      </c>
    </row>
    <row r="109" spans="1:44" ht="15.6" x14ac:dyDescent="0.3">
      <c r="A109" s="6"/>
      <c r="B109" s="39">
        <v>2</v>
      </c>
      <c r="C109" s="40" t="s">
        <v>58</v>
      </c>
      <c r="D109" s="41">
        <v>3</v>
      </c>
      <c r="E109" s="39">
        <v>1</v>
      </c>
      <c r="F109" s="40" t="str">
        <f>IF(AK93&gt;1,"v","")</f>
        <v>v</v>
      </c>
      <c r="G109" s="41">
        <v>4</v>
      </c>
      <c r="H109" s="39">
        <v>2</v>
      </c>
      <c r="I109" s="40" t="str">
        <f>IF(AK93&gt;2,"v","")</f>
        <v>v</v>
      </c>
      <c r="J109" s="41">
        <v>4</v>
      </c>
      <c r="K109" s="39">
        <v>1</v>
      </c>
      <c r="L109" s="40" t="str">
        <f>IF(AK93&gt;3,"v","")</f>
        <v>v</v>
      </c>
      <c r="M109" s="41">
        <v>3</v>
      </c>
      <c r="N109" s="39">
        <v>3</v>
      </c>
      <c r="O109" s="40" t="str">
        <f>IF(AK93&gt;4,"v","")</f>
        <v>v</v>
      </c>
      <c r="P109" s="41">
        <v>4</v>
      </c>
      <c r="Q109" s="39">
        <v>1</v>
      </c>
      <c r="R109" s="40" t="str">
        <f>IF(AK93&gt;5,"v","")</f>
        <v>v</v>
      </c>
      <c r="S109" s="41">
        <v>2</v>
      </c>
      <c r="T109" s="39"/>
      <c r="U109" s="40" t="str">
        <f>IF(AK93&gt;6,"v","")</f>
        <v/>
      </c>
      <c r="V109" s="41"/>
      <c r="W109" s="39"/>
      <c r="X109" s="40" t="str">
        <f>IF(AK93&gt;7,"v","")</f>
        <v/>
      </c>
      <c r="Y109" s="41"/>
      <c r="Z109" s="39"/>
      <c r="AA109" s="40" t="str">
        <f>IF(AK93&gt;8,"v","")</f>
        <v/>
      </c>
      <c r="AB109" s="41"/>
      <c r="AC109" s="39"/>
      <c r="AD109" s="40" t="str">
        <f>IF(AK93&gt;9,"v","")</f>
        <v/>
      </c>
      <c r="AE109" s="41"/>
      <c r="AF109" s="36" t="str">
        <f>IF(AK94&gt;0,"Team 1","")</f>
        <v>Team 1</v>
      </c>
      <c r="AG109" s="42" t="str">
        <f>IF(AK94&lt;1,"",IF(AK93&lt;1,"",IF(B109=1,B115-D115,IF(D109=1,D115-B115,""))))</f>
        <v/>
      </c>
      <c r="AH109" s="42">
        <f>IF(AK94&lt;1,"",IF(AK93&lt;2,"",IF(E109=1,E115-G115,IF(G109=1,G115-E115,""))))</f>
        <v>12</v>
      </c>
      <c r="AI109" s="42" t="str">
        <f>IF(AK94&lt;1,"",IF(AK93&lt;3,"",IF(H109=1,H115-J115,IF(J109=1,J115-H115,""))))</f>
        <v/>
      </c>
      <c r="AJ109" s="42">
        <f>IF(AK94&lt;1,"",IF(AK93&lt;4,"",IF(K109=1,K115-M115,IF(M109=1,M115-K115,""))))</f>
        <v>-20</v>
      </c>
      <c r="AK109" s="42" t="str">
        <f>IF(AK94&lt;1,"",IF(AK93&lt;5,"",IF(N109=1,N115-P115,IF(P109=1,P115-N115,""))))</f>
        <v/>
      </c>
      <c r="AL109" s="42">
        <f>IF(AK94&lt;1,"",IF(AK93&lt;6,"",IF(Q109=1,Q115-S115,IF(S109=1,S115-Q115,""))))</f>
        <v>3</v>
      </c>
      <c r="AM109" s="42" t="str">
        <f>IF(AK94&lt;1,"",IF(AK93&lt;7,"",IF(T109=1,T115-V115,IF(V109=1,V115-T115,""))))</f>
        <v/>
      </c>
      <c r="AN109" s="42" t="str">
        <f>IF(AK94&lt;1,"",IF(AK93&lt;8,"",IF(W109=1,W115-Y115,IF(Y109=1,Y115-W115,""))))</f>
        <v/>
      </c>
      <c r="AO109" s="42" t="str">
        <f>IF(AK94&lt;1,"",IF(AK93&lt;9,"",IF(Z109=1,Z115-AB115,IF(AB109=1,AB115-Z115,""))))</f>
        <v/>
      </c>
      <c r="AP109" s="42" t="str">
        <f>IF(AK94&lt;1,"",IF(AK93&lt;10,"",IF(AC109=1,AC115-AE115,IF(AE109=1,AE115-AC115,""))))</f>
        <v/>
      </c>
      <c r="AQ109" s="38">
        <f>SUM(AG109:AP109)</f>
        <v>-5</v>
      </c>
    </row>
    <row r="110" spans="1:44" ht="15" x14ac:dyDescent="0.25">
      <c r="A110" s="4" t="s">
        <v>59</v>
      </c>
      <c r="B110" s="43">
        <v>34</v>
      </c>
      <c r="C110" s="44" t="s">
        <v>60</v>
      </c>
      <c r="D110" s="45">
        <v>15</v>
      </c>
      <c r="E110" s="43">
        <v>31</v>
      </c>
      <c r="F110" s="44" t="str">
        <f>IF(AK93&gt;1,"/","")</f>
        <v>/</v>
      </c>
      <c r="G110" s="45">
        <v>19</v>
      </c>
      <c r="H110" s="43">
        <v>24</v>
      </c>
      <c r="I110" s="44" t="str">
        <f>IF(AK93&gt;2,"/","")</f>
        <v>/</v>
      </c>
      <c r="J110" s="45">
        <v>25</v>
      </c>
      <c r="K110" s="43">
        <v>14</v>
      </c>
      <c r="L110" s="44" t="str">
        <f>IF(AK93&gt;3,"/","")</f>
        <v>/</v>
      </c>
      <c r="M110" s="45">
        <v>34</v>
      </c>
      <c r="N110" s="43">
        <v>29</v>
      </c>
      <c r="O110" s="44" t="str">
        <f>IF(AK93&gt;4,"/","")</f>
        <v>/</v>
      </c>
      <c r="P110" s="45">
        <v>21</v>
      </c>
      <c r="Q110" s="43">
        <v>26</v>
      </c>
      <c r="R110" s="44" t="str">
        <f>IF(AK93&gt;5,"/","")</f>
        <v>/</v>
      </c>
      <c r="S110" s="45">
        <v>23</v>
      </c>
      <c r="T110" s="43"/>
      <c r="U110" s="44" t="str">
        <f>IF(AK93&gt;6,"/","")</f>
        <v/>
      </c>
      <c r="V110" s="45"/>
      <c r="W110" s="43"/>
      <c r="X110" s="44" t="str">
        <f>IF(AK93&gt;7,"/","")</f>
        <v/>
      </c>
      <c r="Y110" s="45"/>
      <c r="Z110" s="43"/>
      <c r="AA110" s="44" t="str">
        <f>IF(AK93&gt;8,"/","")</f>
        <v/>
      </c>
      <c r="AB110" s="45"/>
      <c r="AC110" s="43"/>
      <c r="AD110" s="44" t="str">
        <f>IF(AK93&gt;9,"/","")</f>
        <v/>
      </c>
      <c r="AE110" s="45"/>
      <c r="AF110" s="36" t="str">
        <f>IF(AK94&gt;1,"Team 2","")</f>
        <v>Team 2</v>
      </c>
      <c r="AG110" s="42">
        <f>IF(AK94&lt;2,"",IF(AK93&lt;1,"",IF(B109=2,B115-D115,IF(D109=2,D115-B115,""))))</f>
        <v>19</v>
      </c>
      <c r="AH110" s="42" t="str">
        <f>IF(AK94&lt;2,"",IF(AK93&lt;2,"",IF(E109=2,E115-G115,IF(G109=2,G115-E115,""))))</f>
        <v/>
      </c>
      <c r="AI110" s="42">
        <f>IF(AK94&lt;2,"",IF(AK93&lt;3,"",IF(H109=2,H115-J115,IF(J109=2,J115-H115,""))))</f>
        <v>-1</v>
      </c>
      <c r="AJ110" s="42" t="str">
        <f>IF(AK94&lt;2,"",IF(AK93&lt;4,"",IF(K109=2,K115-M115,IF(M109=2,M115-K115,""))))</f>
        <v/>
      </c>
      <c r="AK110" s="42" t="str">
        <f>IF(AK94&lt;2,"",IF(AK93&lt;5,"",IF(N109=2,N115-P115,IF(P109=2,P115-N115,""))))</f>
        <v/>
      </c>
      <c r="AL110" s="42">
        <f>IF(AK94&lt;2,"",IF(AK93&lt;6,"",IF(Q109=2,Q115-S115,IF(S109=2,S115-Q115,""))))</f>
        <v>-3</v>
      </c>
      <c r="AM110" s="42" t="str">
        <f>IF(AK94&lt;2,"",IF(AK93&lt;7,"",IF(T109=2,T115-V115,IF(V109=2,V115-T115,""))))</f>
        <v/>
      </c>
      <c r="AN110" s="42" t="str">
        <f>IF(AK94&lt;2,"",IF(AK93&lt;8,"",IF(W109=2,W115-Y115,IF(Y109=2,Y115-W115,""))))</f>
        <v/>
      </c>
      <c r="AO110" s="42" t="str">
        <f>IF(AK94&lt;2,"",IF(AK93&lt;9,"",IF(Z109=2,Z115-AB115,IF(AB109=2,AB115-Z115,""))))</f>
        <v/>
      </c>
      <c r="AP110" s="42" t="str">
        <f>IF(AK94&lt;2,"",IF(AK93&lt;10,"",IF(AC109=2,AC115-AE115,IF(AE109=2,AE115-AC115,""))))</f>
        <v/>
      </c>
      <c r="AQ110" s="38">
        <f>SUM(AG110:AP110)</f>
        <v>15</v>
      </c>
    </row>
    <row r="111" spans="1:44" ht="15" x14ac:dyDescent="0.25">
      <c r="A111" s="3" t="str">
        <f>IF(AK92&gt;1,"Game 2","")</f>
        <v/>
      </c>
      <c r="B111" s="43">
        <v>25</v>
      </c>
      <c r="C111" s="44" t="s">
        <v>60</v>
      </c>
      <c r="D111" s="45">
        <v>15</v>
      </c>
      <c r="E111" s="43">
        <v>18</v>
      </c>
      <c r="F111" s="44" t="str">
        <f>IF(AK93&gt;1,IF(AK92&gt;1,"/",""),"")</f>
        <v/>
      </c>
      <c r="G111" s="45">
        <v>25</v>
      </c>
      <c r="H111" s="43">
        <v>30</v>
      </c>
      <c r="I111" s="44" t="str">
        <f>IF(AK93&gt;2,IF(AK92&gt;1,"/",""),"")</f>
        <v/>
      </c>
      <c r="J111" s="45">
        <v>22</v>
      </c>
      <c r="K111" s="43"/>
      <c r="L111" s="44" t="str">
        <f>IF(AK93&gt;3,IF(AK92&gt;1,"/",""),"")</f>
        <v/>
      </c>
      <c r="M111" s="45"/>
      <c r="N111" s="43"/>
      <c r="O111" s="44" t="str">
        <f>IF(AK93&gt;4,IF(AK92&gt;1,"/",""),"")</f>
        <v/>
      </c>
      <c r="P111" s="45"/>
      <c r="Q111" s="43"/>
      <c r="R111" s="44" t="str">
        <f>IF(AK93&gt;5,IF(AK92&gt;1,"/",""),"")</f>
        <v/>
      </c>
      <c r="S111" s="45"/>
      <c r="T111" s="43"/>
      <c r="U111" s="44" t="str">
        <f>IF(AK93&gt;6,IF(AK92&gt;1,"/",""),"")</f>
        <v/>
      </c>
      <c r="V111" s="45"/>
      <c r="W111" s="43"/>
      <c r="X111" s="44" t="str">
        <f>IF(AK93&gt;7,IF(AK92&gt;1,"/",""),"")</f>
        <v/>
      </c>
      <c r="Y111" s="45"/>
      <c r="Z111" s="43"/>
      <c r="AA111" s="44" t="str">
        <f>IF(AK93&gt;8,IF(AK92&gt;1,"/",""),"")</f>
        <v/>
      </c>
      <c r="AB111" s="45"/>
      <c r="AC111" s="43"/>
      <c r="AD111" s="44" t="str">
        <f>IF(AK93&gt;9,IF(AK92&gt;1,"/",""),"")</f>
        <v/>
      </c>
      <c r="AE111" s="45"/>
      <c r="AF111" s="36" t="str">
        <f>IF(AK94&gt;2,"Team 3","")</f>
        <v>Team 3</v>
      </c>
      <c r="AG111" s="42">
        <f>IF(AK94&lt;3,"",IF(AK93&lt;1,"",IF(B109=3,B115-D115,IF(D109=3,D115-B115,""))))</f>
        <v>-19</v>
      </c>
      <c r="AH111" s="42" t="str">
        <f>IF(AK94&lt;3,"",IF(AK93&lt;2,"",IF(E109=3,E115-G115,IF(G109=3,G115-E115,""))))</f>
        <v/>
      </c>
      <c r="AI111" s="42" t="str">
        <f>IF(AK94&lt;3,"",IF(AK93&lt;3,"",IF(H109=3,H115-J115,IF(J109=3,J115-H115,""))))</f>
        <v/>
      </c>
      <c r="AJ111" s="42">
        <f>IF(AK94&lt;3,"",IF(AK93&lt;4,"",IF(K109=3,K115-M115,IF(M109=3,M115-K115,""))))</f>
        <v>20</v>
      </c>
      <c r="AK111" s="42">
        <f>IF(AK94&lt;3,"",IF(AK93&lt;5,"",IF(N109=3,N115-P115,IF(P109=3,P115-N115,""))))</f>
        <v>8</v>
      </c>
      <c r="AL111" s="42" t="str">
        <f>IF(AK94&lt;3,"",IF(AK93&lt;6,"",IF(Q109=3,Q115-S115,IF(S109=3,S115-Q115,""))))</f>
        <v/>
      </c>
      <c r="AM111" s="42" t="str">
        <f>IF(AK94&lt;3,"",IF(AK93&lt;7,"",IF(T109=3,T115-V115,IF(V109=3,V115-T115,""))))</f>
        <v/>
      </c>
      <c r="AN111" s="42" t="str">
        <f>IF(AK94&lt;3,"",IF(AK93&lt;8,"",IF(W109=3,W115-Y115,IF(Y109=3,Y115-W115,""))))</f>
        <v/>
      </c>
      <c r="AO111" s="42" t="str">
        <f>IF(AK94&lt;3,"",IF(AK93&lt;9,"",IF(Z109=3,Z115-AB115,IF(AB109=3,AB115-Z115,""))))</f>
        <v/>
      </c>
      <c r="AP111" s="42" t="str">
        <f>IF(AK94&lt;3,"",IF(AK93&lt;9,"",IF(AC109=3,AC115-AE115,IF(AE109=3,AE115-AC115,""))))</f>
        <v/>
      </c>
      <c r="AQ111" s="38">
        <f>SUM(AG111:AP111)</f>
        <v>9</v>
      </c>
    </row>
    <row r="112" spans="1:44" ht="15" x14ac:dyDescent="0.25">
      <c r="A112" s="3" t="str">
        <f>IF(AK92&gt;2,"Game 3","")</f>
        <v/>
      </c>
      <c r="B112" s="43"/>
      <c r="C112" s="44" t="s">
        <v>60</v>
      </c>
      <c r="D112" s="45"/>
      <c r="E112" s="43"/>
      <c r="F112" s="44" t="str">
        <f>IF(AK93&gt;1,IF(AK92&gt;2,"/",""),"")</f>
        <v/>
      </c>
      <c r="G112" s="45"/>
      <c r="H112" s="43"/>
      <c r="I112" s="44" t="str">
        <f>IF(AK93&gt;2,IF(AK92&gt;2,"/",""),"")</f>
        <v/>
      </c>
      <c r="J112" s="45"/>
      <c r="K112" s="43"/>
      <c r="L112" s="44" t="str">
        <f>IF(AK93&gt;3,IF(AK92&gt;2,"/",""),"")</f>
        <v/>
      </c>
      <c r="M112" s="45"/>
      <c r="N112" s="43"/>
      <c r="O112" s="44" t="str">
        <f>IF(AK93&gt;4,IF(AK92&gt;2,"/",""),"")</f>
        <v/>
      </c>
      <c r="P112" s="45"/>
      <c r="Q112" s="43"/>
      <c r="R112" s="44" t="str">
        <f>IF(AK93&gt;5,IF(AK92&gt;2,"/",""),"")</f>
        <v/>
      </c>
      <c r="S112" s="45"/>
      <c r="T112" s="43"/>
      <c r="U112" s="44" t="str">
        <f>IF(AK93&gt;6,IF(AK92&gt;2,"/",""),"")</f>
        <v/>
      </c>
      <c r="V112" s="45"/>
      <c r="W112" s="43"/>
      <c r="X112" s="44" t="str">
        <f>IF(AK93&gt;7,IF(AK92&gt;2,"/",""),"")</f>
        <v/>
      </c>
      <c r="Y112" s="45"/>
      <c r="Z112" s="43"/>
      <c r="AA112" s="44" t="str">
        <f>IF(AK93&gt;8,IF(AK92&gt;2,"/",""),"")</f>
        <v/>
      </c>
      <c r="AB112" s="45"/>
      <c r="AC112" s="43"/>
      <c r="AD112" s="44" t="str">
        <f>IF(AK93&gt;9,IF(AK92&gt;2,"/",""),"")</f>
        <v/>
      </c>
      <c r="AE112" s="45"/>
      <c r="AF112" s="36" t="str">
        <f>IF(AK94&gt;3,"Team 4","")</f>
        <v>Team 4</v>
      </c>
      <c r="AG112" s="42" t="str">
        <f>IF(AK94&lt;4,"",IF(AK93&lt;1,"",IF(B109=4,B115-D115,IF(D109=4,D115-B115,""))))</f>
        <v/>
      </c>
      <c r="AH112" s="42">
        <f>IF(AK94&lt;4,"",IF(AK93&lt;2,"",IF(E109=4,E115-G115,IF(G109=4,G115-E115,""))))</f>
        <v>-12</v>
      </c>
      <c r="AI112" s="42">
        <f>IF(AK94&lt;4,"",IF(AK93&lt;3,"",IF(H109=4,H115-J115,IF(J109=4,J115-H115,""))))</f>
        <v>1</v>
      </c>
      <c r="AJ112" s="42" t="str">
        <f>IF(AK94&lt;4,"",IF(AK93&lt;4,"",IF(K109=4,K115-M115,IF(M109=4,M115-K115,""))))</f>
        <v/>
      </c>
      <c r="AK112" s="42">
        <f>IF(AK94&lt;4,"",IF(AK93&lt;5,"",IF(N109=4,N115-P115,IF(P109=4,P115-N115,""))))</f>
        <v>-8</v>
      </c>
      <c r="AL112" s="42" t="str">
        <f>IF(AK94&lt;4,"",IF(AK93&lt;6,"",IF(Q109=4,Q115-S115,IF(S109=4,S115-Q115,""))))</f>
        <v/>
      </c>
      <c r="AM112" s="42" t="str">
        <f>IF(AK94&lt;4,"",IF(AK93&lt;7,"",IF(T109=4,T115-V115,IF(V109=4,V115-T115,""))))</f>
        <v/>
      </c>
      <c r="AN112" s="42" t="str">
        <f>IF(AK94&lt;4,"",IF(AK93&lt;8,"",IF(W109=4,W115-Y115,IF(Y109=4,Y115-W115,""))))</f>
        <v/>
      </c>
      <c r="AO112" s="42" t="str">
        <f>IF(AK94&lt;4,"",IF(AK93&lt;9,"",IF(Z109=4,Z115-AB115,IF(AB109=4,AB115-Z115,""))))</f>
        <v/>
      </c>
      <c r="AP112" s="42" t="str">
        <f>IF(AK94&lt;4,"",IF(AK93&lt;10,"",IF(AC109=4,AC115-AE115,IF(AE109=4,AE115-AC115,""))))</f>
        <v/>
      </c>
      <c r="AQ112" s="38">
        <f>SUM(AG112:AP112)</f>
        <v>-19</v>
      </c>
    </row>
    <row r="113" spans="1:48" ht="15" x14ac:dyDescent="0.25">
      <c r="A113" s="3" t="str">
        <f>IF(AK92&gt;3,"Game 4","")</f>
        <v/>
      </c>
      <c r="B113" s="43"/>
      <c r="C113" s="44" t="s">
        <v>60</v>
      </c>
      <c r="D113" s="45"/>
      <c r="E113" s="43"/>
      <c r="F113" s="44" t="str">
        <f>IF(AK93&gt;1,IF(AK92&gt;3,"/",""),"")</f>
        <v/>
      </c>
      <c r="G113" s="45"/>
      <c r="H113" s="43"/>
      <c r="I113" s="44" t="str">
        <f>IF(AK93&gt;2,IF(AK92&gt;3,"/",""),"")</f>
        <v/>
      </c>
      <c r="J113" s="45"/>
      <c r="K113" s="43"/>
      <c r="L113" s="44" t="str">
        <f>IF(AK93&gt;3,IF(AK92&gt;3,"/",""),"")</f>
        <v/>
      </c>
      <c r="M113" s="45"/>
      <c r="N113" s="43"/>
      <c r="O113" s="44" t="str">
        <f>IF(AK93&gt;4,IF(AK92&gt;3,"/",""),"")</f>
        <v/>
      </c>
      <c r="P113" s="45"/>
      <c r="Q113" s="43"/>
      <c r="R113" s="44" t="str">
        <f>IF(AK93&gt;5,IF(AK92&gt;3,"/",""),"")</f>
        <v/>
      </c>
      <c r="S113" s="45"/>
      <c r="T113" s="43"/>
      <c r="U113" s="44" t="str">
        <f>IF(AK93&gt;6,IF(AK92&gt;3,"/",""),"")</f>
        <v/>
      </c>
      <c r="V113" s="45"/>
      <c r="W113" s="43"/>
      <c r="X113" s="44" t="str">
        <f>IF(AK93&gt;7,IF(AK92&gt;3,"/",""),"")</f>
        <v/>
      </c>
      <c r="Y113" s="45"/>
      <c r="Z113" s="43"/>
      <c r="AA113" s="44" t="str">
        <f>IF(AK93&gt;8,IF(AK92&gt;3,"/",""),"")</f>
        <v/>
      </c>
      <c r="AB113" s="45"/>
      <c r="AC113" s="43"/>
      <c r="AD113" s="44" t="str">
        <f>IF(AK93&gt;9,IF(AK92&gt;3,"/",""),"")</f>
        <v/>
      </c>
      <c r="AE113" s="45"/>
      <c r="AF113" s="36" t="str">
        <f>IF(AK94&gt;4,"Team 5","")</f>
        <v/>
      </c>
      <c r="AG113" s="46" t="str">
        <f>IF(AK94&lt;5,"",IF(AK93&lt;1,"",IF(B109=5,B115-D115,IF(D109=5,D115-B115,""))))</f>
        <v/>
      </c>
      <c r="AH113" s="42" t="str">
        <f>IF(AK94&lt;5,"",IF(AK93&lt;2,"",IF(E109=5,E115-G115,IF(G109=5,G115-E115,""))))</f>
        <v/>
      </c>
      <c r="AI113" s="42" t="str">
        <f>IF(AK94&lt;5,"",IF(AK93&lt;3,"",IF(H109=5,H115-J115,IF(J109=5,J115-H115,""))))</f>
        <v/>
      </c>
      <c r="AJ113" s="42" t="str">
        <f>IF(AK94&lt;5,"",IF(AK93&lt;4,"",IF(K109=5,K115-M115,IF(M109=5,M115-K115,""))))</f>
        <v/>
      </c>
      <c r="AK113" s="42" t="str">
        <f>IF(AK94&lt;5,"",IF(AK93&lt;5,"",IF(N109=5,N115-P115,IF(P109=5,P115-N115,""))))</f>
        <v/>
      </c>
      <c r="AL113" s="42" t="str">
        <f>IF(AK94&lt;5,"",IF(AK93&lt;6,"",IF(Q109=5,Q115-S115,IF(S109=5,S115-Q115,""))))</f>
        <v/>
      </c>
      <c r="AM113" s="42" t="str">
        <f>IF(AK94&lt;5,"",IF(AK93&lt;7,"",IF(T109=5,T115-V115,IF(V109=5,V115-T115,""))))</f>
        <v/>
      </c>
      <c r="AN113" s="42" t="str">
        <f>IF(AK94&lt;5,"",IF(AK93&lt;8,"",IF(W109=5,W115-Y115,IF(Y109=5,Y115-W115,""))))</f>
        <v/>
      </c>
      <c r="AO113" s="42" t="str">
        <f>IF(AK94&lt;5,"",IF(AK93&lt;9,"",IF(Z109=5,Z115-AB115,IF(AB109=5,AB115-Z115,""))))</f>
        <v/>
      </c>
      <c r="AP113" s="42" t="str">
        <f>IF(AK94&lt;5,"",IF(AK93&lt;10,"",IF(AC109=5,AC115-AE115,IF(AE109=5,AE115-AC115,""))))</f>
        <v/>
      </c>
      <c r="AQ113" s="38">
        <f>SUM(AG113:AP113)</f>
        <v>0</v>
      </c>
    </row>
    <row r="114" spans="1:48" ht="15" x14ac:dyDescent="0.25">
      <c r="A114" s="3" t="str">
        <f>IF(AK92&gt;4,"Game 5","")</f>
        <v/>
      </c>
      <c r="B114" s="43"/>
      <c r="C114" s="44" t="s">
        <v>60</v>
      </c>
      <c r="D114" s="45"/>
      <c r="E114" s="43"/>
      <c r="F114" s="44" t="str">
        <f>IF(AK93&gt;1,IF(AK92&gt;4,"/",""),"")</f>
        <v/>
      </c>
      <c r="G114" s="45"/>
      <c r="H114" s="43"/>
      <c r="I114" s="44" t="str">
        <f>IF(AK93&gt;2,IF(AK92&gt;4,"/",""),"")</f>
        <v/>
      </c>
      <c r="J114" s="45"/>
      <c r="K114" s="43"/>
      <c r="L114" s="44" t="str">
        <f>IF(AK93&gt;3,IF(AK92&gt;4,"/",""),"")</f>
        <v/>
      </c>
      <c r="M114" s="45"/>
      <c r="N114" s="43"/>
      <c r="O114" s="44" t="str">
        <f>IF(AK93&gt;4,IF(AK92&gt;4,"/",""),"")</f>
        <v/>
      </c>
      <c r="P114" s="45"/>
      <c r="Q114" s="43"/>
      <c r="R114" s="44" t="str">
        <f>IF(AK93&gt;5,IF(AK92&gt;4,"/",""),"")</f>
        <v/>
      </c>
      <c r="S114" s="45"/>
      <c r="T114" s="43"/>
      <c r="U114" s="44" t="str">
        <f>IF(AK93&gt;6,IF(AK92&gt;4,"/",""),"")</f>
        <v/>
      </c>
      <c r="V114" s="45"/>
      <c r="W114" s="43"/>
      <c r="X114" s="44" t="str">
        <f>IF(AK93&gt;7,IF(AK92&gt;4,"/",""),"")</f>
        <v/>
      </c>
      <c r="Y114" s="45"/>
      <c r="Z114" s="43"/>
      <c r="AA114" s="44" t="str">
        <f>IF(AK93&gt;8,IF(AK92&gt;4,"/",""),"")</f>
        <v/>
      </c>
      <c r="AB114" s="45"/>
      <c r="AC114" s="43"/>
      <c r="AD114" s="44" t="str">
        <f>IF(AK93&gt;9,IF(AK92&gt;4,"/",""),"")</f>
        <v/>
      </c>
      <c r="AE114" s="45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spans="1:48" hidden="1" x14ac:dyDescent="0.25">
      <c r="A115" s="47"/>
      <c r="B115" s="47">
        <f>IF($AK92=5,SUM(B110:B114),IF($AK92=4,SUM(B110:B113),IF($AK92=3,SUM(B110:B112),IF($AK92=2,SUM(B110:B111),B110))))</f>
        <v>34</v>
      </c>
      <c r="C115" s="47"/>
      <c r="D115" s="47">
        <f>IF($AK92=5,SUM(D110:D114),IF($AK92=4,SUM(D110:D113),IF($AK92=3,SUM(D110:D112),IF($AK92=2,SUM(D110:D111),D110))))</f>
        <v>15</v>
      </c>
      <c r="E115" s="47">
        <f>IF($AK92=5,SUM(E110:E114),IF($AK92=4,SUM(E110:E113),IF($AK92=3,SUM(E110:E112),IF($AK92=2,SUM(E110:E111),E110))))</f>
        <v>31</v>
      </c>
      <c r="F115" s="47"/>
      <c r="G115" s="47">
        <f>IF($AK92=5,SUM(G110:G114),IF($AK92=4,SUM(G110:G113),IF($AK92=3,SUM(G110:G112),IF($AK92=2,SUM(G110:G111),G110))))</f>
        <v>19</v>
      </c>
      <c r="H115" s="47">
        <f>IF($AK92=5,SUM(H110:H114),IF($AK92=4,SUM(H110:H113),IF($AK92=3,SUM(H110:H112),IF($AK92=2,SUM(H110:H111),H110))))</f>
        <v>24</v>
      </c>
      <c r="I115" s="47"/>
      <c r="J115" s="47">
        <f>IF($AK92=5,SUM(J110:J114),IF($AK92=4,SUM(J110:J113),IF($AK92=3,SUM(J110:J112),IF($AK92=2,SUM(J110:J111),J110))))</f>
        <v>25</v>
      </c>
      <c r="K115" s="47">
        <f>IF($AK92=5,SUM(K110:K114),IF($AK92=4,SUM(K110:K113),IF($AK92=3,SUM(K110:K112),IF($AK92=2,SUM(K110:K111),K110))))</f>
        <v>14</v>
      </c>
      <c r="L115" s="47"/>
      <c r="M115" s="47">
        <f>IF($AK92=5,SUM(M110:M114),IF($AK92=4,SUM(M110:M113),IF($AK92=3,SUM(M110:M112),IF($AK92=2,SUM(M110:M111),M110))))</f>
        <v>34</v>
      </c>
      <c r="N115" s="47">
        <f>IF($AK92=5,SUM(N110:N114),IF($AK92=4,SUM(N110:N113),IF($AK92=3,SUM(N110:N112),IF($AK92=2,SUM(N110:N111),N110))))</f>
        <v>29</v>
      </c>
      <c r="O115" s="47"/>
      <c r="P115" s="47">
        <f>IF($AK92=5,SUM(P110:P114),IF($AK92=4,SUM(P110:P113),IF($AK92=3,SUM(P110:P112),IF($AK92=2,SUM(P110:P111),P110))))</f>
        <v>21</v>
      </c>
      <c r="Q115" s="47">
        <f>IF($AK92=5,SUM(Q110:Q114),IF($AK92=4,SUM(Q110:Q113),IF($AK92=3,SUM(Q110:Q112),IF($AK92=2,SUM(Q110:Q111),Q110))))</f>
        <v>26</v>
      </c>
      <c r="R115" s="47"/>
      <c r="S115" s="47">
        <f>IF($AK92=5,SUM(S110:S114),IF($AK92=4,SUM(S110:S113),IF($AK92=3,SUM(S110:S112),IF($AK92=2,SUM(S110:S111),S110))))</f>
        <v>23</v>
      </c>
      <c r="T115" s="47">
        <f>IF($AK92=5,SUM(T110:T114),IF($AK92=4,SUM(T110:T113),IF($AK92=3,SUM(T110:T112),IF($AK92=2,SUM(T110:T111),T110))))</f>
        <v>0</v>
      </c>
      <c r="U115" s="47"/>
      <c r="V115" s="47">
        <f>IF($AK92=5,SUM(V110:V114),IF($AK92=4,SUM(V110:V113),IF($AK92=3,SUM(V110:V112),IF($AK92=2,SUM(V110:V111),V110))))</f>
        <v>0</v>
      </c>
      <c r="W115" s="47">
        <f>IF($AK92=5,SUM(W110:W114),IF($AK92=4,SUM(W110:W113),IF($AK92=3,SUM(W110:W112),IF($AK92=2,SUM(W110:W111),W110))))</f>
        <v>0</v>
      </c>
      <c r="X115" s="47"/>
      <c r="Y115" s="47">
        <f>IF($AK92=5,SUM(Y110:Y114),IF($AK92=4,SUM(Y110:Y113),IF($AK92=3,SUM(Y110:Y112),IF($AK92=2,SUM(Y110:Y111),Y110))))</f>
        <v>0</v>
      </c>
      <c r="Z115" s="47">
        <f>IF($AK92=5,SUM(Z110:Z114),IF($AK92=4,SUM(Z110:Z113),IF($AK92=3,SUM(Z110:Z112),IF($AK92=2,SUM(Z110:Z111),Z110))))</f>
        <v>0</v>
      </c>
      <c r="AA115" s="47"/>
      <c r="AB115" s="47">
        <f>IF($AK92=5,SUM(AB110:AB114),IF($AK92=4,SUM(AB110:AB113),IF($AK92=3,SUM(AB110:AB112),IF($AK92=2,SUM(AB110:AB111),AB110))))</f>
        <v>0</v>
      </c>
      <c r="AC115" s="47">
        <f>IF($AK92=5,SUM(AC110:AC114),IF($AK92=4,SUM(AC110:AC113),IF($AK92=3,SUM(AC110:AC112),IF($AK92=2,SUM(AC110:AC111),AC110))))</f>
        <v>0</v>
      </c>
      <c r="AD115" s="47"/>
      <c r="AE115" s="47">
        <f>IF($AK92=5,SUM(AE110:AE114),IF($AK92=4,SUM(AE110:AE113),IF($AK92=3,SUM(AE110:AE112),IF($AK92=2,SUM(AE110:AE111),AE110))))</f>
        <v>0</v>
      </c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T115" s="48"/>
      <c r="AU115" s="48"/>
      <c r="AV115" s="48"/>
    </row>
    <row r="116" spans="1:48" s="48" customFormat="1" ht="12.75" hidden="1" customHeight="1" x14ac:dyDescent="0.25">
      <c r="A116" s="48" t="s">
        <v>61</v>
      </c>
      <c r="B116" s="49">
        <f>IF(AND(B110&gt;D110,$AK93&gt;0,ISNUMBER(B110),ISNUMBER(D110)),1,0)</f>
        <v>1</v>
      </c>
      <c r="C116" s="49"/>
      <c r="D116" s="50">
        <f>IF(AND(D110&gt;B110,$AK93&gt;0,ISNUMBER(B110),ISNUMBER(D110)),1,0)</f>
        <v>0</v>
      </c>
      <c r="E116" s="49">
        <f>IF(AND(E110&gt;G110,$AK93&gt;1,ISNUMBER(E110),ISNUMBER(G110)),1,0)</f>
        <v>1</v>
      </c>
      <c r="F116" s="49"/>
      <c r="G116" s="50">
        <f>IF(AND(G110&gt;E110,$AK93&gt;1,ISNUMBER(E110),ISNUMBER(G110)),1,0)</f>
        <v>0</v>
      </c>
      <c r="H116" s="49">
        <f>IF(AND(H110&gt;J110,$AK93&gt;2,ISNUMBER(H110),ISNUMBER(J110)),1,0)</f>
        <v>0</v>
      </c>
      <c r="I116" s="49"/>
      <c r="J116" s="50">
        <f>IF(AND(J110&gt;H110,$AK93&gt;2,ISNUMBER(H110),ISNUMBER(J110)),1,0)</f>
        <v>1</v>
      </c>
      <c r="K116" s="49">
        <f>IF(AND(K110&gt;M110,$AK93&gt;3,ISNUMBER(K110),ISNUMBER(M110)),1,0)</f>
        <v>0</v>
      </c>
      <c r="L116" s="49"/>
      <c r="M116" s="50">
        <f>IF(AND(M110&gt;K110,$AK93&gt;3,ISNUMBER(K110),ISNUMBER(M110)),1,0)</f>
        <v>1</v>
      </c>
      <c r="N116" s="49">
        <f>IF(AND(N110&gt;P110,$AK93&gt;4,ISNUMBER(N110),ISNUMBER(P110)),1,0)</f>
        <v>1</v>
      </c>
      <c r="O116" s="49"/>
      <c r="P116" s="50">
        <f>IF(AND(P110&gt;N110,$AK93&gt;4,ISNUMBER(N110),ISNUMBER(P110)),1,0)</f>
        <v>0</v>
      </c>
      <c r="Q116" s="49">
        <f>IF(AND(Q110&gt;S110,$AK93&gt;5,ISNUMBER(Q110),ISNUMBER(S110)),1,0)</f>
        <v>1</v>
      </c>
      <c r="R116" s="49"/>
      <c r="S116" s="50">
        <f>IF(AND(S110&gt;Q110,$AK93&gt;5,ISNUMBER(Q110),ISNUMBER(S110)),1,0)</f>
        <v>0</v>
      </c>
      <c r="T116" s="49">
        <f>IF(AND(T110&gt;V110,$AK93&gt;6,ISNUMBER(T110),ISNUMBER(V110)),1,0)</f>
        <v>0</v>
      </c>
      <c r="U116" s="49"/>
      <c r="V116" s="50">
        <f>IF(AND(V110&gt;T110,$AK93&gt;6,ISNUMBER(T110),ISNUMBER(V110)),1,0)</f>
        <v>0</v>
      </c>
      <c r="W116" s="49">
        <f>IF(AND(W110&gt;Y110,$AK93&gt;7,ISNUMBER(W110),ISNUMBER(Y110)),1,0)</f>
        <v>0</v>
      </c>
      <c r="X116" s="49"/>
      <c r="Y116" s="50">
        <f>IF(AND(Y110&gt;W110,$AK93&gt;7,ISNUMBER(W110),ISNUMBER(Y110)),1,0)</f>
        <v>0</v>
      </c>
      <c r="Z116" s="49">
        <f>IF(AND(Z110&gt;AB110,$AK93&gt;8,ISNUMBER(Z110),ISNUMBER(AB110)),1,0)</f>
        <v>0</v>
      </c>
      <c r="AA116" s="49"/>
      <c r="AB116" s="50">
        <f>IF(AND(AB110&gt;Z110,$AK93&gt;8,ISNUMBER(Z110),ISNUMBER(AB110)),1,0)</f>
        <v>0</v>
      </c>
      <c r="AC116" s="49">
        <f>IF(AND(AC110&gt;AE110,$AK93&gt;9,ISNUMBER(AC110),ISNUMBER(AE110)),1,0)</f>
        <v>0</v>
      </c>
      <c r="AD116" s="49"/>
      <c r="AE116" s="50">
        <f>IF(AND(AE110&gt;AC110,$AK93&gt;9,ISNUMBER(AC110),ISNUMBER(AE110)),1,0)</f>
        <v>0</v>
      </c>
    </row>
    <row r="117" spans="1:48" s="48" customFormat="1" ht="12.75" hidden="1" customHeight="1" x14ac:dyDescent="0.25">
      <c r="A117" s="48" t="s">
        <v>62</v>
      </c>
      <c r="B117" s="49">
        <f>IF(AND(B111&gt;D111,$AK93&gt;0,$AK92&gt;1,ISNUMBER(B111),ISNUMBER(D111)),1,0)</f>
        <v>0</v>
      </c>
      <c r="C117" s="49"/>
      <c r="D117" s="50">
        <f>IF(AND(D111&gt;B111,$AK93&gt;0,$AK92&gt;1,ISNUMBER(B111),ISNUMBER(D111)),1,0)</f>
        <v>0</v>
      </c>
      <c r="E117" s="49">
        <f>IF(AND(E111&gt;G111,$AK93&gt;1,$AK92&gt;1,ISNUMBER(E111),ISNUMBER(G111)),1,0)</f>
        <v>0</v>
      </c>
      <c r="F117" s="49"/>
      <c r="G117" s="50">
        <f>IF(AND(G111&gt;E111,$AK93&gt;1,$AK92&gt;1,ISNUMBER(E111),ISNUMBER(G111)),1,0)</f>
        <v>0</v>
      </c>
      <c r="H117" s="49">
        <f>IF(AND(H111&gt;J111,$AK93&gt;2,$AK92&gt;1,ISNUMBER(H111),ISNUMBER(J111)),1,0)</f>
        <v>0</v>
      </c>
      <c r="I117" s="49"/>
      <c r="J117" s="50">
        <f>IF(AND(J111&gt;H111,$AK93&gt;2,$AK92&gt;1,ISNUMBER(H111),ISNUMBER(J111)),1,0)</f>
        <v>0</v>
      </c>
      <c r="K117" s="49">
        <f>IF(AND(K111&gt;M111,$AK93&gt;3,$AK92&gt;1,ISNUMBER(K111),ISNUMBER(M111)),1,0)</f>
        <v>0</v>
      </c>
      <c r="L117" s="49"/>
      <c r="M117" s="50">
        <f>IF(AND(M111&gt;K111,$AK93&gt;3,$AK92&gt;1,ISNUMBER(K111),ISNUMBER(M111)),1,0)</f>
        <v>0</v>
      </c>
      <c r="N117" s="49">
        <f>IF(AND(N111&gt;P111,$AK93&gt;4,$AK92&gt;1,ISNUMBER(N111),ISNUMBER(P111)),1,0)</f>
        <v>0</v>
      </c>
      <c r="O117" s="49"/>
      <c r="P117" s="50">
        <f>IF(AND(P111&gt;N111,$AK93&gt;4,$AK92&gt;1,ISNUMBER(N111),ISNUMBER(P111)),1,0)</f>
        <v>0</v>
      </c>
      <c r="Q117" s="49">
        <f>IF(AND(Q111&gt;S111,$AK93&gt;5,$AK92&gt;1,ISNUMBER(Q111),ISNUMBER(S111)),1,0)</f>
        <v>0</v>
      </c>
      <c r="R117" s="49"/>
      <c r="S117" s="50">
        <f>IF(AND(S111&gt;Q111,$AK93&gt;5,$AK92&gt;1,ISNUMBER(Q111),ISNUMBER(S111)),1,0)</f>
        <v>0</v>
      </c>
      <c r="T117" s="49">
        <f>IF(AND(T111&gt;V111,$AK93&gt;6,$AK92&gt;1,ISNUMBER(T111),ISNUMBER(V111)),1,0)</f>
        <v>0</v>
      </c>
      <c r="U117" s="49"/>
      <c r="V117" s="50">
        <f>IF(AND(V111&gt;T111,$AK93&gt;6,$AK92&gt;1,ISNUMBER(T111),ISNUMBER(V111)),1,0)</f>
        <v>0</v>
      </c>
      <c r="W117" s="49">
        <f>IF(AND(W111&gt;Y111,$AK93&gt;7,$AK92&gt;1,ISNUMBER(W111),ISNUMBER(Y111)),1,0)</f>
        <v>0</v>
      </c>
      <c r="X117" s="49"/>
      <c r="Y117" s="50">
        <f>IF(AND(Y111&gt;W111,$AK93&gt;7,$AK92&gt;1,ISNUMBER(W111),ISNUMBER(Y111)),1,0)</f>
        <v>0</v>
      </c>
      <c r="Z117" s="49">
        <f>IF(AND(Z111&gt;AB111,$AK93&gt;8,$AK92&gt;1,ISNUMBER(Z111),ISNUMBER(AB111)),1,0)</f>
        <v>0</v>
      </c>
      <c r="AA117" s="49"/>
      <c r="AB117" s="50">
        <f>IF(AND(AB111&gt;Z111,$AK93&gt;8,$AK92&gt;1,ISNUMBER(Z111),ISNUMBER(AB111)),1,0)</f>
        <v>0</v>
      </c>
      <c r="AC117" s="49">
        <f>IF(AND(AC111&gt;AE111,$AK93&gt;9,$AK92&gt;1,ISNUMBER(AC111),ISNUMBER(AE111)),1,0)</f>
        <v>0</v>
      </c>
      <c r="AD117" s="49"/>
      <c r="AE117" s="50">
        <f>IF(AND(AE111&gt;AC111,$AK93&gt;9,$AK92&gt;1,ISNUMBER(AC111),ISNUMBER(AE111)),1,0)</f>
        <v>0</v>
      </c>
    </row>
    <row r="118" spans="1:48" s="48" customFormat="1" ht="12.75" hidden="1" customHeight="1" x14ac:dyDescent="0.25">
      <c r="A118" s="48" t="s">
        <v>63</v>
      </c>
      <c r="B118" s="49">
        <f>IF(AND(B112&gt;D112,$AK93&gt;0,$AK92&gt;2,ISNUMBER(B112),ISNUMBER(D112)),1,0)</f>
        <v>0</v>
      </c>
      <c r="C118" s="49"/>
      <c r="D118" s="50">
        <f>IF(AND(D112&gt;B112,$AK93&gt;0,$AK92&gt;2,ISNUMBER(B112),ISNUMBER(D112)),1,0)</f>
        <v>0</v>
      </c>
      <c r="E118" s="49">
        <f>IF(AND(E112&gt;G112,$AK93&gt;1,$AK92&gt;2,ISNUMBER(E112),ISNUMBER(G112)),1,0)</f>
        <v>0</v>
      </c>
      <c r="F118" s="49"/>
      <c r="G118" s="50">
        <f>IF(AND(G112&gt;E112,$AK93&gt;1,$AK92&gt;2,ISNUMBER(E112),ISNUMBER(G112)),1,0)</f>
        <v>0</v>
      </c>
      <c r="H118" s="49">
        <f>IF(AND(H112&gt;J112,$AK93&gt;2,$AK92&gt;2,ISNUMBER(H112),ISNUMBER(J112)),1,0)</f>
        <v>0</v>
      </c>
      <c r="I118" s="49"/>
      <c r="J118" s="50">
        <f>IF(AND(J112&gt;H112,$AK93&gt;2,$AK92&gt;2,ISNUMBER(H112),ISNUMBER(J112)),1,0)</f>
        <v>0</v>
      </c>
      <c r="K118" s="49">
        <f>IF(AND(K112&gt;M112,$AK93&gt;3,$AK92&gt;2,ISNUMBER(K112),ISNUMBER(M112)),1,0)</f>
        <v>0</v>
      </c>
      <c r="L118" s="49"/>
      <c r="M118" s="50">
        <f>IF(AND(M112&gt;K112,$AK93&gt;3,$AK92&gt;2,ISNUMBER(K112),ISNUMBER(M112)),1,0)</f>
        <v>0</v>
      </c>
      <c r="N118" s="49">
        <f>IF(AND(N112&gt;P112,$AK93&gt;4,$AK92&gt;2,ISNUMBER(N112),ISNUMBER(P112)),1,0)</f>
        <v>0</v>
      </c>
      <c r="O118" s="49"/>
      <c r="P118" s="50">
        <f>IF(AND(P112&gt;N112,$AK93&gt;4,$AK92&gt;2,ISNUMBER(N112),ISNUMBER(P112)),1,0)</f>
        <v>0</v>
      </c>
      <c r="Q118" s="49">
        <f>IF(AND(Q112&gt;S112,$AK93&gt;5,$AK92&gt;2,ISNUMBER(Q112),ISNUMBER(S112)),1,0)</f>
        <v>0</v>
      </c>
      <c r="R118" s="49"/>
      <c r="S118" s="50">
        <f>IF(AND(S112&gt;Q112,$AK93&gt;5,$AK92&gt;2,ISNUMBER(Q112),ISNUMBER(S112)),1,0)</f>
        <v>0</v>
      </c>
      <c r="T118" s="49">
        <f>IF(AND(T112&gt;V112,$AK93&gt;6,$AK92&gt;2,ISNUMBER(T112),ISNUMBER(V112)),1,0)</f>
        <v>0</v>
      </c>
      <c r="U118" s="49"/>
      <c r="V118" s="50">
        <f>IF(AND(V112&gt;T112,$AK93&gt;6,$AK92&gt;2,ISNUMBER(T112),ISNUMBER(V112)),1,0)</f>
        <v>0</v>
      </c>
      <c r="W118" s="49">
        <f>IF(AND(W112&gt;Y112,$AK93&gt;7,$AK92&gt;2,ISNUMBER(W112),ISNUMBER(Y112)),1,0)</f>
        <v>0</v>
      </c>
      <c r="X118" s="49"/>
      <c r="Y118" s="50">
        <f>IF(AND(Y112&gt;W112,$AK93&gt;7,$AK92&gt;2,ISNUMBER(W112),ISNUMBER(Y112)),1,0)</f>
        <v>0</v>
      </c>
      <c r="Z118" s="49">
        <f>IF(AND(Z112&gt;AB112,$AK93&gt;8,$AK92&gt;2,ISNUMBER(Z112),ISNUMBER(AB112)),1,0)</f>
        <v>0</v>
      </c>
      <c r="AA118" s="49"/>
      <c r="AB118" s="50">
        <f>IF(AND(AB112&gt;Z112,$AK93&gt;8,$AK92&gt;2,ISNUMBER(Z112),ISNUMBER(AB112)),1,0)</f>
        <v>0</v>
      </c>
      <c r="AC118" s="49">
        <f>IF(AND(AC112&gt;AE112,$AK93&gt;9,$AK92&gt;2,ISNUMBER(AC112),ISNUMBER(AE112)),1,0)</f>
        <v>0</v>
      </c>
      <c r="AD118" s="49"/>
      <c r="AE118" s="50">
        <f>IF(AND(AE112&gt;AC112,$AK93&gt;9,$AK92&gt;2,ISNUMBER(AC112),ISNUMBER(AE112)),1,0)</f>
        <v>0</v>
      </c>
    </row>
    <row r="119" spans="1:48" s="48" customFormat="1" ht="12.75" hidden="1" customHeight="1" x14ac:dyDescent="0.25">
      <c r="A119" s="48" t="s">
        <v>64</v>
      </c>
      <c r="B119" s="49">
        <f>IF(AND(B113&gt;D113,$AK93&gt;0,$AK92&gt;3,ISNUMBER(B113),ISNUMBER(D113)),1,0)</f>
        <v>0</v>
      </c>
      <c r="C119" s="49"/>
      <c r="D119" s="50">
        <f>IF(AND(D113&gt;B113,$AK93&gt;0,$AK92&gt;3,ISNUMBER(B113),ISNUMBER(D113)),1,0)</f>
        <v>0</v>
      </c>
      <c r="E119" s="49">
        <f>IF(AND(E113&gt;G113,$AK93&gt;1,$AK92&gt;3,ISNUMBER(E113),ISNUMBER(G113)),1,0)</f>
        <v>0</v>
      </c>
      <c r="F119" s="49"/>
      <c r="G119" s="50">
        <f>IF(AND(G113&gt;E113,$AK93&gt;1,$AK92&gt;3,ISNUMBER(E113),ISNUMBER(G113)),1,0)</f>
        <v>0</v>
      </c>
      <c r="H119" s="49">
        <f>IF(AND(H113&gt;J113,$AK93&gt;2,$AK92&gt;3,ISNUMBER(H113),ISNUMBER(J113)),1,0)</f>
        <v>0</v>
      </c>
      <c r="I119" s="49"/>
      <c r="J119" s="50">
        <f>IF(AND(J113&gt;H113,$AK93&gt;2,$AK92&gt;3,ISNUMBER(H113),ISNUMBER(J113)),1,0)</f>
        <v>0</v>
      </c>
      <c r="K119" s="49">
        <f>IF(AND(K113&gt;M113,$AK93&gt;3,$AK92&gt;3,ISNUMBER(K113),ISNUMBER(M113)),1,0)</f>
        <v>0</v>
      </c>
      <c r="L119" s="49"/>
      <c r="M119" s="50">
        <f>IF(AND(M113&gt;K113,$AK93&gt;3,$AK92&gt;3,ISNUMBER(K113),ISNUMBER(M113)),1,0)</f>
        <v>0</v>
      </c>
      <c r="N119" s="49">
        <f>IF(AND(N113&gt;P113,$AK93&gt;4,$AK92&gt;3,ISNUMBER(N113),ISNUMBER(P113)),1,0)</f>
        <v>0</v>
      </c>
      <c r="O119" s="49"/>
      <c r="P119" s="50">
        <f>IF(AND(P113&gt;N113,$AK93&gt;4,$AK92&gt;3,ISNUMBER(N113),ISNUMBER(P113)),1,0)</f>
        <v>0</v>
      </c>
      <c r="Q119" s="49">
        <f>IF(AND(Q113&gt;S113,$AK93&gt;5,$AK92&gt;3,ISNUMBER(Q113),ISNUMBER(S113)),1,0)</f>
        <v>0</v>
      </c>
      <c r="R119" s="49"/>
      <c r="S119" s="50">
        <f>IF(AND(S113&gt;Q113,$AK93&gt;5,$AK92&gt;3,ISNUMBER(Q113),ISNUMBER(S113)),1,0)</f>
        <v>0</v>
      </c>
      <c r="T119" s="49">
        <f>IF(AND(T113&gt;V113,$AK93&gt;6,$AK92&gt;3,ISNUMBER(T113),ISNUMBER(V113)),1,0)</f>
        <v>0</v>
      </c>
      <c r="U119" s="49"/>
      <c r="V119" s="50">
        <f>IF(AND(V113&gt;T113,$AK93&gt;6,$AK92&gt;3,ISNUMBER(T113),ISNUMBER(V113)),1,0)</f>
        <v>0</v>
      </c>
      <c r="W119" s="49">
        <f>IF(AND(W113&gt;Y113,$AK93&gt;7,$AK92&gt;3,ISNUMBER(W113),ISNUMBER(Y113)),1,0)</f>
        <v>0</v>
      </c>
      <c r="X119" s="49"/>
      <c r="Y119" s="50">
        <f>IF(AND(Y113&gt;W113,$AK93&gt;7,$AK92&gt;3,ISNUMBER(W113),ISNUMBER(Y113)),1,0)</f>
        <v>0</v>
      </c>
      <c r="Z119" s="49">
        <f>IF(AND(Z113&gt;AB113,$AK93&gt;8,$AK92&gt;3,ISNUMBER(Z113),ISNUMBER(AB113)),1,0)</f>
        <v>0</v>
      </c>
      <c r="AA119" s="49"/>
      <c r="AB119" s="50">
        <f>IF(AND(AB113&gt;Z113,$AK93&gt;8,$AK92&gt;3,ISNUMBER(Z113),ISNUMBER(AB113)),1,0)</f>
        <v>0</v>
      </c>
      <c r="AC119" s="49">
        <f>IF(AND(AC113&gt;AE113,$AK93&gt;9,$AK92&gt;3,ISNUMBER(AC113),ISNUMBER(AE113)),1,0)</f>
        <v>0</v>
      </c>
      <c r="AD119" s="49"/>
      <c r="AE119" s="50">
        <f>IF(AND(AE113&gt;AC113,$AK93&gt;9,$AK92&gt;3,ISNUMBER(AC113),ISNUMBER(AE113)),1,0)</f>
        <v>0</v>
      </c>
    </row>
    <row r="120" spans="1:48" s="48" customFormat="1" ht="12.75" hidden="1" customHeight="1" x14ac:dyDescent="0.25">
      <c r="A120" s="48" t="s">
        <v>65</v>
      </c>
      <c r="B120" s="49">
        <f>IF(AND(B114&gt;D114,$AK93&gt;0,$AK92&gt;4,ISNUMBER(B114),ISNUMBER(D114)),1,0)</f>
        <v>0</v>
      </c>
      <c r="C120" s="49"/>
      <c r="D120" s="50">
        <f>IF(AND(D114&gt;B114,$AK93&gt;0,$AK92&gt;4,ISNUMBER(B114),ISNUMBER(D114)),1,0)</f>
        <v>0</v>
      </c>
      <c r="E120" s="49">
        <f>IF(AND(E114&gt;G114,$AK93&gt;1,$AK92&gt;4,ISNUMBER(E114),ISNUMBER(G114)),1,0)</f>
        <v>0</v>
      </c>
      <c r="F120" s="49"/>
      <c r="G120" s="50">
        <f>IF(AND(G114&gt;E114,$AK93&gt;1,$AK92&gt;4,ISNUMBER(E114),ISNUMBER(G114)),1,0)</f>
        <v>0</v>
      </c>
      <c r="H120" s="49">
        <f>IF(AND(H114&gt;J114,$AK93&gt;2,$AK92&gt;4,ISNUMBER(H114),ISNUMBER(J114)),1,0)</f>
        <v>0</v>
      </c>
      <c r="I120" s="49"/>
      <c r="J120" s="50">
        <f>IF(AND(J114&gt;H114,$AK93&gt;2,$AK92&gt;4,ISNUMBER(H114),ISNUMBER(J114)),1,0)</f>
        <v>0</v>
      </c>
      <c r="K120" s="49">
        <f>IF(AND(K114&gt;M114,$AK93&gt;3,$AK92&gt;4,ISNUMBER(K114),ISNUMBER(M114)),1,0)</f>
        <v>0</v>
      </c>
      <c r="L120" s="49"/>
      <c r="M120" s="50">
        <f>IF(AND(M114&gt;K114,$AK93&gt;3,$AK92&gt;4,ISNUMBER(K114),ISNUMBER(M114)),1,0)</f>
        <v>0</v>
      </c>
      <c r="N120" s="49">
        <f>IF(AND(N114&gt;P114,$AK93&gt;4,$AK92&gt;4,ISNUMBER(N114),ISNUMBER(P114)),1,0)</f>
        <v>0</v>
      </c>
      <c r="O120" s="49"/>
      <c r="P120" s="50">
        <f>IF(AND(P114&gt;N114,$AK93&gt;4,$AK92&gt;4,ISNUMBER(N114),ISNUMBER(P114)),1,0)</f>
        <v>0</v>
      </c>
      <c r="Q120" s="49">
        <f>IF(AND(Q114&gt;S114,$AK93&gt;5,$AK92&gt;4,ISNUMBER(Q114),ISNUMBER(S114)),1,0)</f>
        <v>0</v>
      </c>
      <c r="R120" s="49"/>
      <c r="S120" s="50">
        <f>IF(AND(S114&gt;Q114,$AK93&gt;5,$AK92&gt;4,ISNUMBER(Q114),ISNUMBER(S114)),1,0)</f>
        <v>0</v>
      </c>
      <c r="T120" s="49">
        <f>IF(AND(T114&gt;V114,$AK93&gt;6,$AK92&gt;4,ISNUMBER(T114),ISNUMBER(V114)),1,0)</f>
        <v>0</v>
      </c>
      <c r="U120" s="49"/>
      <c r="V120" s="50">
        <f>IF(AND(V114&gt;T114,$AK93&gt;6,$AK92&gt;4,ISNUMBER(T114),ISNUMBER(V114)),1,0)</f>
        <v>0</v>
      </c>
      <c r="W120" s="49">
        <f>IF(AND(W114&gt;Y114,$AK93&gt;7,$AK92&gt;4,ISNUMBER(W114),ISNUMBER(Y114)),1,0)</f>
        <v>0</v>
      </c>
      <c r="X120" s="49"/>
      <c r="Y120" s="50">
        <f>IF(AND(Y114&gt;W114,$AK93&gt;7,$AK92&gt;4,ISNUMBER(W114),ISNUMBER(Y114)),1,0)</f>
        <v>0</v>
      </c>
      <c r="Z120" s="49">
        <f>IF(AND(Z114&gt;AB114,$AK93&gt;8,$AK92&gt;4,ISNUMBER(Z114),ISNUMBER(AB114)),1,0)</f>
        <v>0</v>
      </c>
      <c r="AA120" s="49"/>
      <c r="AB120" s="50">
        <f>IF(AND(AB114&gt;Z114,$AK93&gt;8,$AK92&gt;4,ISNUMBER(Z114),ISNUMBER(AB114)),1,0)</f>
        <v>0</v>
      </c>
      <c r="AC120" s="49">
        <f>IF(AND(AC114&gt;AE114,$AK93&gt;9,$AK92&gt;4,ISNUMBER(AC114),ISNUMBER(AE114)),1,0)</f>
        <v>0</v>
      </c>
      <c r="AD120" s="49"/>
      <c r="AE120" s="50">
        <f>IF(AND(AE114&gt;AC114,$AK93&gt;9,$AK92&gt;4,ISNUMBER(AC114),ISNUMBER(AE114)),1,0)</f>
        <v>0</v>
      </c>
    </row>
    <row r="121" spans="1:48" s="48" customFormat="1" ht="38.25" hidden="1" customHeight="1" x14ac:dyDescent="0.25">
      <c r="A121" s="51" t="s">
        <v>66</v>
      </c>
      <c r="B121" s="48">
        <f>SUM(B116:B120)</f>
        <v>1</v>
      </c>
      <c r="D121" s="52">
        <f>SUM(D116:D120)</f>
        <v>0</v>
      </c>
      <c r="E121" s="48">
        <f>SUM(E116:E120)</f>
        <v>1</v>
      </c>
      <c r="G121" s="52">
        <f>SUM(G116:G120)</f>
        <v>0</v>
      </c>
      <c r="H121" s="48">
        <f>SUM(H116:H120)</f>
        <v>0</v>
      </c>
      <c r="J121" s="52">
        <f>SUM(J116:J120)</f>
        <v>1</v>
      </c>
      <c r="K121" s="48">
        <f>SUM(K116:K120)</f>
        <v>0</v>
      </c>
      <c r="M121" s="52">
        <f>SUM(M116:M120)</f>
        <v>1</v>
      </c>
      <c r="N121" s="48">
        <f>SUM(N116:N120)</f>
        <v>1</v>
      </c>
      <c r="P121" s="52">
        <f>SUM(P116:P120)</f>
        <v>0</v>
      </c>
      <c r="Q121" s="48">
        <f>SUM(Q116:Q120)</f>
        <v>1</v>
      </c>
      <c r="S121" s="52">
        <f>SUM(S116:S120)</f>
        <v>0</v>
      </c>
      <c r="T121" s="48">
        <f>SUM(T116:T120)</f>
        <v>0</v>
      </c>
      <c r="V121" s="52">
        <f>SUM(V116:V120)</f>
        <v>0</v>
      </c>
      <c r="W121" s="48">
        <f>SUM(W116:W120)</f>
        <v>0</v>
      </c>
      <c r="Y121" s="52">
        <f>SUM(Y116:Y120)</f>
        <v>0</v>
      </c>
      <c r="Z121" s="48">
        <f>SUM(Z116:Z120)</f>
        <v>0</v>
      </c>
      <c r="AB121" s="52">
        <f>SUM(AB116:AB120)</f>
        <v>0</v>
      </c>
      <c r="AC121" s="48">
        <f>SUM(AC116:AC120)</f>
        <v>0</v>
      </c>
      <c r="AE121" s="52">
        <f>SUM(AE116:AE120)</f>
        <v>0</v>
      </c>
    </row>
    <row r="122" spans="1:48" s="48" customFormat="1" ht="25.5" hidden="1" customHeight="1" x14ac:dyDescent="0.25">
      <c r="A122" s="51" t="s">
        <v>67</v>
      </c>
      <c r="B122" s="48">
        <f>IF(B121&gt;D121,IF(C156=AK92,1,IF(C156=AK92-1,1,0)),0)</f>
        <v>1</v>
      </c>
      <c r="C122" s="48">
        <f>B122+D122</f>
        <v>1</v>
      </c>
      <c r="D122" s="52">
        <f>IF(D121&gt;B121,IF(C156=AK92,1,IF(C156=AK92-1,1,0)),0)</f>
        <v>0</v>
      </c>
      <c r="E122" s="48">
        <f>IF(E121&gt;G121,IF(F156=AK92,1,IF(F156=AK92-1,1,0)),0)</f>
        <v>1</v>
      </c>
      <c r="F122" s="48">
        <f>E122+G122</f>
        <v>1</v>
      </c>
      <c r="G122" s="52">
        <f>IF(G121&gt;E121,IF(F156=AK92,1,IF(F156=AK92-1,1,0)),0)</f>
        <v>0</v>
      </c>
      <c r="H122" s="48">
        <f>IF(H121&gt;J121,IF(I156=AK92,1,IF(I156=AK92-1,1,0)),0)</f>
        <v>0</v>
      </c>
      <c r="I122" s="48">
        <f>H122+J122</f>
        <v>1</v>
      </c>
      <c r="J122" s="52">
        <f>IF(J121&gt;H121,IF(I156=AK92,1,IF(I156=AK92-1,1,0)),0)</f>
        <v>1</v>
      </c>
      <c r="K122" s="48">
        <f>IF(K121&gt;M121,IF(L156=AK92,1,IF(L156=AK92-1,1,0)),0)</f>
        <v>0</v>
      </c>
      <c r="L122" s="48">
        <f>K122+M122</f>
        <v>1</v>
      </c>
      <c r="M122" s="52">
        <f>IF(M121&gt;K121,IF(L156=AK92,1,IF(L156=AK92-1,1,0)),0)</f>
        <v>1</v>
      </c>
      <c r="N122" s="48">
        <f>IF(N121&gt;P121,IF(O156=AK92,1,IF(O156=AK92-1,1,0)),0)</f>
        <v>1</v>
      </c>
      <c r="O122" s="48">
        <f>N122+P122</f>
        <v>1</v>
      </c>
      <c r="P122" s="52">
        <f>IF(P121&gt;N121,IF(O156=AK92,1,IF(O156=AK92-1,1,0)),0)</f>
        <v>0</v>
      </c>
      <c r="Q122" s="48">
        <f>IF(Q121&gt;S121,IF(R156=AK92,1,IF(R156=AK92-1,1,0)),0)</f>
        <v>1</v>
      </c>
      <c r="R122" s="48">
        <f>Q122+S122</f>
        <v>1</v>
      </c>
      <c r="S122" s="52">
        <f>IF(S121&gt;Q121,IF(R156=AK92,1,IF(R156=AK92-1,1,0)),0)</f>
        <v>0</v>
      </c>
      <c r="T122" s="48">
        <f>IF(T121&gt;V121,IF(U156=AK92,1,IF(U156=AK92-1,1,0)),0)</f>
        <v>0</v>
      </c>
      <c r="U122" s="48">
        <f>T122+V122</f>
        <v>0</v>
      </c>
      <c r="V122" s="52">
        <f>IF(V121&gt;T121,IF(U156=AK92,1,IF(U156=AK92-1,1,0)),0)</f>
        <v>0</v>
      </c>
      <c r="W122" s="48">
        <f>IF(W121&gt;Y121,IF(X156=AK92,1,IF(X156=AK92-1,1,0)),0)</f>
        <v>0</v>
      </c>
      <c r="X122" s="48">
        <f>W122+Y122</f>
        <v>0</v>
      </c>
      <c r="Y122" s="52">
        <f>IF(Y121&gt;W121,IF(X156=AK92,1,IF(X156=AK92-1,1,0)),0)</f>
        <v>0</v>
      </c>
      <c r="Z122" s="48">
        <f>IF(Z121&gt;AB121,IF(AA156=AK92,1,IF(AA156=AK92-1,1,0)),0)</f>
        <v>0</v>
      </c>
      <c r="AA122" s="48">
        <f>Z122+AB122</f>
        <v>0</v>
      </c>
      <c r="AB122" s="52">
        <f>IF(AB121&gt;Z121,IF(AA156=AK92,1,IF(AA156=AK92-1,1,0)),0)</f>
        <v>0</v>
      </c>
      <c r="AC122" s="48">
        <f>IF(AC121&gt;AE121,IF(AD156=AK92,1,IF(AD156=AK92-1,1,0)),0)</f>
        <v>0</v>
      </c>
      <c r="AD122" s="48">
        <f>AC122+AE122</f>
        <v>0</v>
      </c>
      <c r="AE122" s="52">
        <f>IF(AE121&gt;AC121,IF(AD156=AK92,1,IF(AD156=AK92-1,1,0)),0)</f>
        <v>0</v>
      </c>
    </row>
    <row r="123" spans="1:48" s="48" customFormat="1" ht="25.5" hidden="1" customHeight="1" x14ac:dyDescent="0.25">
      <c r="A123" s="51"/>
      <c r="D123" s="52"/>
      <c r="G123" s="52"/>
      <c r="J123" s="52"/>
      <c r="M123" s="52"/>
      <c r="P123" s="52"/>
      <c r="S123" s="52"/>
      <c r="V123" s="52"/>
      <c r="Y123" s="52"/>
      <c r="AB123" s="52"/>
      <c r="AE123" s="52"/>
    </row>
    <row r="124" spans="1:48" s="48" customFormat="1" ht="12.75" hidden="1" customHeight="1" x14ac:dyDescent="0.25">
      <c r="A124" s="48" t="s">
        <v>68</v>
      </c>
      <c r="B124" s="48">
        <f>IF(B116=1,B110,0)</f>
        <v>34</v>
      </c>
      <c r="D124" s="52">
        <f t="shared" ref="D124:E128" si="9">IF(D116=1,D110,0)</f>
        <v>0</v>
      </c>
      <c r="E124" s="48">
        <f t="shared" si="9"/>
        <v>31</v>
      </c>
      <c r="G124" s="52">
        <f t="shared" ref="G124:H128" si="10">IF(G116=1,G110,0)</f>
        <v>0</v>
      </c>
      <c r="H124" s="48">
        <f t="shared" si="10"/>
        <v>0</v>
      </c>
      <c r="J124" s="52">
        <f t="shared" ref="J124:K128" si="11">IF(J116=1,J110,0)</f>
        <v>25</v>
      </c>
      <c r="K124" s="48">
        <f t="shared" si="11"/>
        <v>0</v>
      </c>
      <c r="M124" s="52">
        <f t="shared" ref="M124:N128" si="12">IF(M116=1,M110,0)</f>
        <v>34</v>
      </c>
      <c r="N124" s="48">
        <f t="shared" si="12"/>
        <v>29</v>
      </c>
      <c r="P124" s="52">
        <f t="shared" ref="P124:Q128" si="13">IF(P116=1,P110,0)</f>
        <v>0</v>
      </c>
      <c r="Q124" s="48">
        <f t="shared" si="13"/>
        <v>26</v>
      </c>
      <c r="S124" s="52">
        <f t="shared" ref="S124:T128" si="14">IF(S116=1,S110,0)</f>
        <v>0</v>
      </c>
      <c r="T124" s="48">
        <f t="shared" si="14"/>
        <v>0</v>
      </c>
      <c r="V124" s="52">
        <f t="shared" ref="V124:W128" si="15">IF(V116=1,V110,0)</f>
        <v>0</v>
      </c>
      <c r="W124" s="48">
        <f t="shared" si="15"/>
        <v>0</v>
      </c>
      <c r="Y124" s="52">
        <f t="shared" ref="Y124:Z128" si="16">IF(Y116=1,Y110,0)</f>
        <v>0</v>
      </c>
      <c r="Z124" s="48">
        <f t="shared" si="16"/>
        <v>0</v>
      </c>
      <c r="AB124" s="52">
        <f t="shared" ref="AB124:AC128" si="17">IF(AB116=1,AB110,0)</f>
        <v>0</v>
      </c>
      <c r="AC124" s="48">
        <f t="shared" si="17"/>
        <v>0</v>
      </c>
      <c r="AE124" s="52">
        <f>IF(AE116=1,AE110,0)</f>
        <v>0</v>
      </c>
    </row>
    <row r="125" spans="1:48" s="48" customFormat="1" ht="12.75" hidden="1" customHeight="1" x14ac:dyDescent="0.25">
      <c r="A125" s="48" t="s">
        <v>69</v>
      </c>
      <c r="B125" s="48">
        <f>IF(B117=1,B111,0)</f>
        <v>0</v>
      </c>
      <c r="D125" s="52">
        <f t="shared" si="9"/>
        <v>0</v>
      </c>
      <c r="E125" s="48">
        <f t="shared" si="9"/>
        <v>0</v>
      </c>
      <c r="G125" s="52">
        <f t="shared" si="10"/>
        <v>0</v>
      </c>
      <c r="H125" s="48">
        <f t="shared" si="10"/>
        <v>0</v>
      </c>
      <c r="J125" s="52">
        <f t="shared" si="11"/>
        <v>0</v>
      </c>
      <c r="K125" s="48">
        <f t="shared" si="11"/>
        <v>0</v>
      </c>
      <c r="M125" s="52">
        <f t="shared" si="12"/>
        <v>0</v>
      </c>
      <c r="N125" s="48">
        <f t="shared" si="12"/>
        <v>0</v>
      </c>
      <c r="P125" s="52">
        <f t="shared" si="13"/>
        <v>0</v>
      </c>
      <c r="Q125" s="48">
        <f t="shared" si="13"/>
        <v>0</v>
      </c>
      <c r="S125" s="52">
        <f t="shared" si="14"/>
        <v>0</v>
      </c>
      <c r="T125" s="48">
        <f t="shared" si="14"/>
        <v>0</v>
      </c>
      <c r="V125" s="52">
        <f t="shared" si="15"/>
        <v>0</v>
      </c>
      <c r="W125" s="48">
        <f t="shared" si="15"/>
        <v>0</v>
      </c>
      <c r="Y125" s="52">
        <f t="shared" si="16"/>
        <v>0</v>
      </c>
      <c r="Z125" s="48">
        <f t="shared" si="16"/>
        <v>0</v>
      </c>
      <c r="AB125" s="52">
        <f t="shared" si="17"/>
        <v>0</v>
      </c>
      <c r="AC125" s="48">
        <f t="shared" si="17"/>
        <v>0</v>
      </c>
      <c r="AE125" s="52">
        <f>IF(AE117=1,AE111,0)</f>
        <v>0</v>
      </c>
    </row>
    <row r="126" spans="1:48" s="48" customFormat="1" ht="12.75" hidden="1" customHeight="1" x14ac:dyDescent="0.25">
      <c r="A126" s="48" t="s">
        <v>70</v>
      </c>
      <c r="B126" s="48">
        <f>IF(B118=1,B112,0)</f>
        <v>0</v>
      </c>
      <c r="D126" s="52">
        <f t="shared" si="9"/>
        <v>0</v>
      </c>
      <c r="E126" s="48">
        <f t="shared" si="9"/>
        <v>0</v>
      </c>
      <c r="G126" s="52">
        <f t="shared" si="10"/>
        <v>0</v>
      </c>
      <c r="H126" s="48">
        <f t="shared" si="10"/>
        <v>0</v>
      </c>
      <c r="J126" s="52">
        <f t="shared" si="11"/>
        <v>0</v>
      </c>
      <c r="K126" s="48">
        <f t="shared" si="11"/>
        <v>0</v>
      </c>
      <c r="M126" s="52">
        <f t="shared" si="12"/>
        <v>0</v>
      </c>
      <c r="N126" s="48">
        <f t="shared" si="12"/>
        <v>0</v>
      </c>
      <c r="P126" s="52">
        <f t="shared" si="13"/>
        <v>0</v>
      </c>
      <c r="Q126" s="48">
        <f t="shared" si="13"/>
        <v>0</v>
      </c>
      <c r="S126" s="52">
        <f t="shared" si="14"/>
        <v>0</v>
      </c>
      <c r="T126" s="48">
        <f t="shared" si="14"/>
        <v>0</v>
      </c>
      <c r="V126" s="52">
        <f t="shared" si="15"/>
        <v>0</v>
      </c>
      <c r="W126" s="48">
        <f t="shared" si="15"/>
        <v>0</v>
      </c>
      <c r="Y126" s="52">
        <f t="shared" si="16"/>
        <v>0</v>
      </c>
      <c r="Z126" s="48">
        <f t="shared" si="16"/>
        <v>0</v>
      </c>
      <c r="AB126" s="52">
        <f t="shared" si="17"/>
        <v>0</v>
      </c>
      <c r="AC126" s="48">
        <f t="shared" si="17"/>
        <v>0</v>
      </c>
      <c r="AE126" s="52">
        <f>IF(AE118=1,AE112,0)</f>
        <v>0</v>
      </c>
    </row>
    <row r="127" spans="1:48" s="48" customFormat="1" ht="12.75" hidden="1" customHeight="1" x14ac:dyDescent="0.25">
      <c r="A127" s="48" t="s">
        <v>71</v>
      </c>
      <c r="B127" s="48">
        <f>IF(B119=1,B113,0)</f>
        <v>0</v>
      </c>
      <c r="D127" s="52">
        <f t="shared" si="9"/>
        <v>0</v>
      </c>
      <c r="E127" s="48">
        <f t="shared" si="9"/>
        <v>0</v>
      </c>
      <c r="G127" s="52">
        <f t="shared" si="10"/>
        <v>0</v>
      </c>
      <c r="H127" s="48">
        <f t="shared" si="10"/>
        <v>0</v>
      </c>
      <c r="J127" s="52">
        <f t="shared" si="11"/>
        <v>0</v>
      </c>
      <c r="K127" s="48">
        <f t="shared" si="11"/>
        <v>0</v>
      </c>
      <c r="M127" s="52">
        <f t="shared" si="12"/>
        <v>0</v>
      </c>
      <c r="N127" s="48">
        <f t="shared" si="12"/>
        <v>0</v>
      </c>
      <c r="P127" s="52">
        <f t="shared" si="13"/>
        <v>0</v>
      </c>
      <c r="Q127" s="48">
        <f t="shared" si="13"/>
        <v>0</v>
      </c>
      <c r="S127" s="52">
        <f t="shared" si="14"/>
        <v>0</v>
      </c>
      <c r="T127" s="48">
        <f t="shared" si="14"/>
        <v>0</v>
      </c>
      <c r="V127" s="52">
        <f t="shared" si="15"/>
        <v>0</v>
      </c>
      <c r="W127" s="48">
        <f t="shared" si="15"/>
        <v>0</v>
      </c>
      <c r="Y127" s="52">
        <f t="shared" si="16"/>
        <v>0</v>
      </c>
      <c r="Z127" s="48">
        <f t="shared" si="16"/>
        <v>0</v>
      </c>
      <c r="AB127" s="52">
        <f t="shared" si="17"/>
        <v>0</v>
      </c>
      <c r="AC127" s="48">
        <f t="shared" si="17"/>
        <v>0</v>
      </c>
      <c r="AE127" s="52">
        <f>IF(AE119=1,AE113,0)</f>
        <v>0</v>
      </c>
    </row>
    <row r="128" spans="1:48" s="48" customFormat="1" ht="12.75" hidden="1" customHeight="1" x14ac:dyDescent="0.25">
      <c r="A128" s="48" t="s">
        <v>72</v>
      </c>
      <c r="B128" s="48">
        <f>IF(B120=1,B114,0)</f>
        <v>0</v>
      </c>
      <c r="D128" s="52">
        <f t="shared" si="9"/>
        <v>0</v>
      </c>
      <c r="E128" s="48">
        <f t="shared" si="9"/>
        <v>0</v>
      </c>
      <c r="G128" s="52">
        <f t="shared" si="10"/>
        <v>0</v>
      </c>
      <c r="H128" s="48">
        <f t="shared" si="10"/>
        <v>0</v>
      </c>
      <c r="J128" s="52">
        <f t="shared" si="11"/>
        <v>0</v>
      </c>
      <c r="K128" s="48">
        <f t="shared" si="11"/>
        <v>0</v>
      </c>
      <c r="M128" s="52">
        <f t="shared" si="12"/>
        <v>0</v>
      </c>
      <c r="N128" s="48">
        <f t="shared" si="12"/>
        <v>0</v>
      </c>
      <c r="P128" s="52">
        <f t="shared" si="13"/>
        <v>0</v>
      </c>
      <c r="Q128" s="48">
        <f t="shared" si="13"/>
        <v>0</v>
      </c>
      <c r="S128" s="52">
        <f t="shared" si="14"/>
        <v>0</v>
      </c>
      <c r="T128" s="48">
        <f t="shared" si="14"/>
        <v>0</v>
      </c>
      <c r="V128" s="52">
        <f t="shared" si="15"/>
        <v>0</v>
      </c>
      <c r="W128" s="48">
        <f t="shared" si="15"/>
        <v>0</v>
      </c>
      <c r="Y128" s="52">
        <f t="shared" si="16"/>
        <v>0</v>
      </c>
      <c r="Z128" s="48">
        <f t="shared" si="16"/>
        <v>0</v>
      </c>
      <c r="AB128" s="52">
        <f t="shared" si="17"/>
        <v>0</v>
      </c>
      <c r="AC128" s="48">
        <f t="shared" si="17"/>
        <v>0</v>
      </c>
      <c r="AE128" s="52">
        <f>IF(AE120=1,AE114,0)</f>
        <v>0</v>
      </c>
    </row>
    <row r="129" spans="1:37" s="48" customFormat="1" ht="38.25" hidden="1" customHeight="1" x14ac:dyDescent="0.25">
      <c r="A129" s="51" t="s">
        <v>73</v>
      </c>
      <c r="B129" s="48">
        <f>SUM(B124:D128)</f>
        <v>34</v>
      </c>
      <c r="D129" s="52"/>
      <c r="E129" s="48">
        <f>SUM(E124:G128)</f>
        <v>31</v>
      </c>
      <c r="G129" s="52"/>
      <c r="H129" s="48">
        <f>SUM(H124:J128)</f>
        <v>25</v>
      </c>
      <c r="J129" s="52"/>
      <c r="K129" s="48">
        <f>SUM(K124:M128)</f>
        <v>34</v>
      </c>
      <c r="M129" s="52"/>
      <c r="N129" s="48">
        <f>SUM(N124:P128)</f>
        <v>29</v>
      </c>
      <c r="P129" s="52"/>
      <c r="Q129" s="48">
        <f>SUM(Q124:S128)</f>
        <v>26</v>
      </c>
      <c r="S129" s="52"/>
      <c r="T129" s="48">
        <f>SUM(T124:V128)</f>
        <v>0</v>
      </c>
      <c r="V129" s="52"/>
      <c r="W129" s="48">
        <f>SUM(W124:Y128)</f>
        <v>0</v>
      </c>
      <c r="Y129" s="52"/>
      <c r="Z129" s="48">
        <f>SUM(Z124:AB128)</f>
        <v>0</v>
      </c>
      <c r="AB129" s="52"/>
      <c r="AC129" s="48">
        <f>SUM(AC124:AE128)</f>
        <v>0</v>
      </c>
      <c r="AE129" s="52"/>
    </row>
    <row r="130" spans="1:37" s="48" customFormat="1" ht="38.25" hidden="1" customHeight="1" x14ac:dyDescent="0.25">
      <c r="A130" s="48" t="s">
        <v>74</v>
      </c>
      <c r="D130" s="52"/>
      <c r="G130" s="52"/>
      <c r="J130" s="52"/>
      <c r="M130" s="52"/>
      <c r="P130" s="52"/>
      <c r="S130" s="52"/>
      <c r="V130" s="52"/>
      <c r="Y130" s="52"/>
      <c r="AB130" s="52"/>
      <c r="AE130" s="52"/>
      <c r="AF130" s="51" t="s">
        <v>75</v>
      </c>
      <c r="AG130" s="48" t="s">
        <v>76</v>
      </c>
    </row>
    <row r="131" spans="1:37" s="48" customFormat="1" ht="12.75" hidden="1" customHeight="1" x14ac:dyDescent="0.25">
      <c r="A131" s="48" t="s">
        <v>77</v>
      </c>
      <c r="B131" s="48">
        <f>IF(B109=1,IF(B122=1,1,0),0)</f>
        <v>0</v>
      </c>
      <c r="D131" s="52">
        <f>IF(D109=1,IF(D122=1,1,0),0)</f>
        <v>0</v>
      </c>
      <c r="E131" s="48">
        <f>IF(E109=1,IF(E122=1,1,0),0)</f>
        <v>1</v>
      </c>
      <c r="G131" s="52">
        <f>IF(G109=1,IF(G122=1,1,0),0)</f>
        <v>0</v>
      </c>
      <c r="H131" s="48">
        <f>IF(H109=1,IF(H122=1,1,0),0)</f>
        <v>0</v>
      </c>
      <c r="J131" s="52">
        <f>IF(J109=1,IF(J122=1,1,0),0)</f>
        <v>0</v>
      </c>
      <c r="K131" s="48">
        <f>IF(K109=1,IF(K122=1,1,0),0)</f>
        <v>0</v>
      </c>
      <c r="M131" s="52">
        <f>IF(M109=1,IF(M122=1,1,0),0)</f>
        <v>0</v>
      </c>
      <c r="N131" s="48">
        <f>IF(N109=1,IF(N122=1,1,0),0)</f>
        <v>0</v>
      </c>
      <c r="P131" s="52">
        <f>IF(P109=1,IF(P122=1,1,0),0)</f>
        <v>0</v>
      </c>
      <c r="Q131" s="48">
        <f>IF(Q109=1,IF(Q122=1,1,0),0)</f>
        <v>1</v>
      </c>
      <c r="S131" s="52">
        <f>IF(S109=1,IF(S122=1,1,0),0)</f>
        <v>0</v>
      </c>
      <c r="T131" s="48">
        <f>IF(T109=1,IF(T122=1,1,0),0)</f>
        <v>0</v>
      </c>
      <c r="V131" s="52">
        <f>IF(V109=1,IF(V122=1,1,0),0)</f>
        <v>0</v>
      </c>
      <c r="W131" s="48">
        <f>IF(W109=1,IF(W122=1,1,0),0)</f>
        <v>0</v>
      </c>
      <c r="Y131" s="52">
        <f>IF(Y109=1,IF(Y122=1,1,0),0)</f>
        <v>0</v>
      </c>
      <c r="Z131" s="48">
        <f>IF(Z109=1,IF(Z122=1,1,0),0)</f>
        <v>0</v>
      </c>
      <c r="AB131" s="52">
        <f>IF(AB109=1,IF(AB122=1,1,0),0)</f>
        <v>0</v>
      </c>
      <c r="AC131" s="48">
        <f>IF(AC109=1,IF(AC122=1,1,0),0)</f>
        <v>0</v>
      </c>
      <c r="AE131" s="52">
        <f>IF(AE109=1,IF(AE122=1,1,0),0)</f>
        <v>0</v>
      </c>
      <c r="AF131" s="48">
        <f>SUM(B131:AE131)</f>
        <v>2</v>
      </c>
      <c r="AG131" s="48">
        <f>AF137-AF131</f>
        <v>1</v>
      </c>
    </row>
    <row r="132" spans="1:37" s="48" customFormat="1" ht="12.75" hidden="1" customHeight="1" x14ac:dyDescent="0.25">
      <c r="A132" s="48" t="s">
        <v>78</v>
      </c>
      <c r="B132" s="48">
        <f>IF(B109=2,IF(B122=1,1,0),0)</f>
        <v>1</v>
      </c>
      <c r="D132" s="52">
        <f>IF(D109=2,IF(D122=1,1,0),0)</f>
        <v>0</v>
      </c>
      <c r="E132" s="48">
        <f>IF(E109=2,IF(E122=1,1,0),0)</f>
        <v>0</v>
      </c>
      <c r="G132" s="52">
        <f>IF(G109=2,IF(G122=1,1,0),0)</f>
        <v>0</v>
      </c>
      <c r="H132" s="48">
        <f>IF(H109=2,IF(H122=1,1,0),0)</f>
        <v>0</v>
      </c>
      <c r="J132" s="52">
        <f>IF(J109=2,IF(J122=1,1,0),0)</f>
        <v>0</v>
      </c>
      <c r="K132" s="48">
        <f>IF(K109=2,IF(K122=1,1,0),0)</f>
        <v>0</v>
      </c>
      <c r="M132" s="52">
        <f>IF(M109=2,IF(M122=1,1,0),0)</f>
        <v>0</v>
      </c>
      <c r="N132" s="48">
        <f>IF(N109=2,IF(N122=1,1,0),0)</f>
        <v>0</v>
      </c>
      <c r="P132" s="52">
        <f>IF(P109=2,IF(P122=1,1,0),0)</f>
        <v>0</v>
      </c>
      <c r="Q132" s="48">
        <f>IF(Q109=2,IF(Q122=1,1,0),0)</f>
        <v>0</v>
      </c>
      <c r="S132" s="52">
        <f>IF(S109=2,IF(S122=1,1,0),0)</f>
        <v>0</v>
      </c>
      <c r="T132" s="48">
        <f>IF(T109=2,IF(T122=1,1,0),0)</f>
        <v>0</v>
      </c>
      <c r="V132" s="52">
        <f>IF(V109=2,IF(V122=1,1,0),0)</f>
        <v>0</v>
      </c>
      <c r="W132" s="48">
        <f>IF(W109=2,IF(W122=1,1,0),0)</f>
        <v>0</v>
      </c>
      <c r="Y132" s="52">
        <f>IF(Y109=2,IF(Y122=1,1,0),0)</f>
        <v>0</v>
      </c>
      <c r="Z132" s="48">
        <f>IF(Z109=2,IF(Z122=1,1,0),0)</f>
        <v>0</v>
      </c>
      <c r="AB132" s="52">
        <f>IF(AB109=2,IF(AB122=1,1,0),0)</f>
        <v>0</v>
      </c>
      <c r="AC132" s="48">
        <f>IF(AC109=2,IF(AC122=1,1,0),0)</f>
        <v>0</v>
      </c>
      <c r="AE132" s="52">
        <f>IF(AE109=2,IF(AE122=1,1,0),0)</f>
        <v>0</v>
      </c>
      <c r="AF132" s="48">
        <f>SUM(B132:AE132)</f>
        <v>1</v>
      </c>
      <c r="AG132" s="48">
        <f>AF138-AF132</f>
        <v>2</v>
      </c>
    </row>
    <row r="133" spans="1:37" s="48" customFormat="1" ht="12.75" hidden="1" customHeight="1" x14ac:dyDescent="0.25">
      <c r="A133" s="48" t="s">
        <v>79</v>
      </c>
      <c r="B133" s="48">
        <f>IF(B109=3,IF(B122=1,1,0),0)</f>
        <v>0</v>
      </c>
      <c r="D133" s="52">
        <f>IF(D109=3,IF(D122=1,1,0),0)</f>
        <v>0</v>
      </c>
      <c r="E133" s="48">
        <f>IF(E109=3,IF(E122=1,1,0),0)</f>
        <v>0</v>
      </c>
      <c r="G133" s="52">
        <f>IF(G109=3,IF(G122=1,1,0),0)</f>
        <v>0</v>
      </c>
      <c r="H133" s="48">
        <f>IF(H109=3,IF(H122=1,1,0),0)</f>
        <v>0</v>
      </c>
      <c r="J133" s="52">
        <f>IF(J109=3,IF(J122=1,1,0),0)</f>
        <v>0</v>
      </c>
      <c r="K133" s="48">
        <f>IF(K109=3,IF(K122=1,1,0),0)</f>
        <v>0</v>
      </c>
      <c r="M133" s="52">
        <f>IF(M109=3,IF(M122=1,1,0),0)</f>
        <v>1</v>
      </c>
      <c r="N133" s="48">
        <f>IF(N109=3,IF(N122=1,1,0),0)</f>
        <v>1</v>
      </c>
      <c r="P133" s="52">
        <f>IF(P109=3,IF(P122=1,1,0),0)</f>
        <v>0</v>
      </c>
      <c r="Q133" s="48">
        <f>IF(Q109=3,IF(Q122=1,1,0),0)</f>
        <v>0</v>
      </c>
      <c r="S133" s="52">
        <f>IF(S109=3,IF(S122=1,1,0),0)</f>
        <v>0</v>
      </c>
      <c r="T133" s="48">
        <f>IF(T109=3,IF(T122=1,1,0),0)</f>
        <v>0</v>
      </c>
      <c r="V133" s="52">
        <f>IF(V109=3,IF(V122=1,1,0),0)</f>
        <v>0</v>
      </c>
      <c r="W133" s="48">
        <f>IF(W109=3,IF(W122=1,1,0),0)</f>
        <v>0</v>
      </c>
      <c r="Y133" s="52">
        <f>IF(Y109=3,IF(Y122=1,1,0),0)</f>
        <v>0</v>
      </c>
      <c r="Z133" s="48">
        <f>IF(Z109=3,IF(Z122=1,1,0),0)</f>
        <v>0</v>
      </c>
      <c r="AB133" s="52">
        <f>IF(AB109=3,IF(AB122=1,1,0),0)</f>
        <v>0</v>
      </c>
      <c r="AC133" s="48">
        <f>IF(AC109=3,IF(AC122=1,1,0),0)</f>
        <v>0</v>
      </c>
      <c r="AE133" s="52">
        <f>IF(AE109=3,IF(AE122=1,1,0),0)</f>
        <v>0</v>
      </c>
      <c r="AF133" s="48">
        <f>SUM(B133:AE133)</f>
        <v>2</v>
      </c>
      <c r="AG133" s="48">
        <f>AF139-AF133</f>
        <v>1</v>
      </c>
    </row>
    <row r="134" spans="1:37" s="48" customFormat="1" ht="12.75" hidden="1" customHeight="1" x14ac:dyDescent="0.25">
      <c r="A134" s="48" t="s">
        <v>80</v>
      </c>
      <c r="B134" s="48">
        <f>IF(B109=4,IF(B122=1,1,0),0)</f>
        <v>0</v>
      </c>
      <c r="D134" s="52">
        <f>IF(D109=4,IF(D122=1,1,0),0)</f>
        <v>0</v>
      </c>
      <c r="E134" s="48">
        <f>IF(E109=4,IF(E122=1,1,0),0)</f>
        <v>0</v>
      </c>
      <c r="G134" s="52">
        <f>IF(G109=4,IF(G122=1,1,0),0)</f>
        <v>0</v>
      </c>
      <c r="H134" s="48">
        <f>IF(H109=4,IF(H122=1,1,0),0)</f>
        <v>0</v>
      </c>
      <c r="J134" s="52">
        <f>IF(J109=4,IF(J122=1,1,0),0)</f>
        <v>1</v>
      </c>
      <c r="K134" s="48">
        <f>IF(K109=4,IF(K122=1,1,0),0)</f>
        <v>0</v>
      </c>
      <c r="M134" s="52">
        <f>IF(M109=4,IF(M122=1,1,0),0)</f>
        <v>0</v>
      </c>
      <c r="N134" s="48">
        <f>IF(N109=4,IF(N122=1,1,0),0)</f>
        <v>0</v>
      </c>
      <c r="P134" s="52">
        <f>IF(P109=4,IF(P122=1,1,0),0)</f>
        <v>0</v>
      </c>
      <c r="Q134" s="48">
        <f>IF(Q109=4,IF(Q122=1,1,0),0)</f>
        <v>0</v>
      </c>
      <c r="S134" s="52">
        <f>IF(S109=4,IF(S122=1,1,0),0)</f>
        <v>0</v>
      </c>
      <c r="T134" s="48">
        <f>IF(T109=4,IF(T122=1,1,0),0)</f>
        <v>0</v>
      </c>
      <c r="V134" s="52">
        <f>IF(V109=4,IF(V122=1,1,0),0)</f>
        <v>0</v>
      </c>
      <c r="W134" s="48">
        <f>IF(W109=4,IF(W122=1,1,0),0)</f>
        <v>0</v>
      </c>
      <c r="Y134" s="52">
        <f>IF(Y109=4,IF(Y122=1,1,0),0)</f>
        <v>0</v>
      </c>
      <c r="Z134" s="48">
        <f>IF(Z109=4,IF(Z122=1,1,0),0)</f>
        <v>0</v>
      </c>
      <c r="AB134" s="52">
        <f>IF(AB109=4,IF(AB122=1,1,0),0)</f>
        <v>0</v>
      </c>
      <c r="AC134" s="48">
        <f>IF(AC109=4,IF(AC122=1,1,0),0)</f>
        <v>0</v>
      </c>
      <c r="AE134" s="52">
        <f>IF(AE109=4,IF(AE122=1,1,0),0)</f>
        <v>0</v>
      </c>
      <c r="AF134" s="48">
        <f>SUM(B134:AE134)</f>
        <v>1</v>
      </c>
      <c r="AG134" s="48">
        <f>AF140-AF134</f>
        <v>2</v>
      </c>
    </row>
    <row r="135" spans="1:37" s="48" customFormat="1" ht="12.75" hidden="1" customHeight="1" x14ac:dyDescent="0.25">
      <c r="A135" s="48" t="s">
        <v>81</v>
      </c>
      <c r="B135" s="48">
        <f>IF(B109=5,IF(B122=1,1,0),0)</f>
        <v>0</v>
      </c>
      <c r="D135" s="52">
        <f>IF(D109=5,IF(D122=1,1,0),0)</f>
        <v>0</v>
      </c>
      <c r="E135" s="48">
        <f>IF(E109=5,IF(E122=1,1,0),0)</f>
        <v>0</v>
      </c>
      <c r="G135" s="52">
        <f>IF(G109=5,IF(G122=1,1,0),0)</f>
        <v>0</v>
      </c>
      <c r="H135" s="48">
        <f>IF(H109=5,IF(H122=1,1,0),0)</f>
        <v>0</v>
      </c>
      <c r="J135" s="52">
        <f>IF(J109=5,IF(J122=1,1,0),0)</f>
        <v>0</v>
      </c>
      <c r="K135" s="48">
        <f>IF(K109=5,IF(K122=1,1,0),0)</f>
        <v>0</v>
      </c>
      <c r="M135" s="52">
        <f>IF(M109=5,IF(M122=1,1,0),0)</f>
        <v>0</v>
      </c>
      <c r="N135" s="48">
        <f>IF(N109=5,IF(N122=1,1,0),0)</f>
        <v>0</v>
      </c>
      <c r="P135" s="52">
        <f>IF(P109=5,IF(P122=1,1,0),0)</f>
        <v>0</v>
      </c>
      <c r="Q135" s="48">
        <f>IF(Q109=5,IF(Q122=1,1,0),0)</f>
        <v>0</v>
      </c>
      <c r="S135" s="52">
        <f>IF(S109=5,IF(S122=1,1,0),0)</f>
        <v>0</v>
      </c>
      <c r="T135" s="48">
        <f>IF(T109=5,IF(T122=1,1,0),0)</f>
        <v>0</v>
      </c>
      <c r="V135" s="52">
        <f>IF(V109=5,IF(V122=1,1,0),0)</f>
        <v>0</v>
      </c>
      <c r="W135" s="48">
        <f>IF(W109=5,IF(W122=1,1,0),0)</f>
        <v>0</v>
      </c>
      <c r="Y135" s="52">
        <f>IF(Y109=5,IF(Y122=1,1,0),0)</f>
        <v>0</v>
      </c>
      <c r="Z135" s="48">
        <f>IF(Z109=5,IF(Z122=1,1,0),0)</f>
        <v>0</v>
      </c>
      <c r="AB135" s="52">
        <f>IF(AB109=5,IF(AB122=1,1,0),0)</f>
        <v>0</v>
      </c>
      <c r="AC135" s="48">
        <f>IF(AC109=5,IF(AC122=1,1,0),0)</f>
        <v>0</v>
      </c>
      <c r="AE135" s="52">
        <f>IF(AE109=5,IF(AE122=1,1,0),0)</f>
        <v>0</v>
      </c>
      <c r="AF135" s="48">
        <f>SUM(B135:AE135)</f>
        <v>0</v>
      </c>
      <c r="AG135" s="48">
        <f>AF141-AF135</f>
        <v>0</v>
      </c>
    </row>
    <row r="136" spans="1:37" s="48" customFormat="1" ht="38.25" hidden="1" customHeight="1" x14ac:dyDescent="0.25">
      <c r="A136" s="51"/>
      <c r="D136" s="52"/>
      <c r="G136" s="52"/>
      <c r="J136" s="52"/>
      <c r="M136" s="52"/>
      <c r="P136" s="52"/>
      <c r="S136" s="52"/>
      <c r="V136" s="52"/>
      <c r="Y136" s="52"/>
      <c r="AB136" s="52"/>
      <c r="AE136" s="52"/>
      <c r="AF136" s="51" t="s">
        <v>82</v>
      </c>
    </row>
    <row r="137" spans="1:37" s="48" customFormat="1" ht="12.75" hidden="1" customHeight="1" x14ac:dyDescent="0.25">
      <c r="A137" s="48" t="s">
        <v>83</v>
      </c>
      <c r="B137" s="48">
        <f>IF(B109=1,IF(C122=1,1,0),0)</f>
        <v>0</v>
      </c>
      <c r="D137" s="52">
        <f>IF(D109=1,IF(C122=1,1,0),0)</f>
        <v>0</v>
      </c>
      <c r="E137" s="48">
        <f>IF(E109=1,IF(F122=1,1,0),0)</f>
        <v>1</v>
      </c>
      <c r="G137" s="52">
        <f>IF(G109=1,IF(F122=1,1,0),0)</f>
        <v>0</v>
      </c>
      <c r="H137" s="48">
        <f>IF(H109=1,IF(I122=1,1,0),0)</f>
        <v>0</v>
      </c>
      <c r="J137" s="52">
        <f>IF(J109=1,IF(I122=1,1,0),0)</f>
        <v>0</v>
      </c>
      <c r="K137" s="48">
        <f>IF(K109=1,IF(L122=1,1,0),0)</f>
        <v>1</v>
      </c>
      <c r="M137" s="52">
        <f>IF(M109=1,IF(L122=1,1,0),0)</f>
        <v>0</v>
      </c>
      <c r="N137" s="48">
        <f>IF(N109=1,IF(O122=1,1,0),0)</f>
        <v>0</v>
      </c>
      <c r="P137" s="52">
        <f>IF(P109=1,IF(O122=1,1,0),0)</f>
        <v>0</v>
      </c>
      <c r="Q137" s="48">
        <f>IF(Q109=1,IF(R122=1,1,0),0)</f>
        <v>1</v>
      </c>
      <c r="S137" s="52">
        <f>IF(S109=1,IF(R122=1,1,0),0)</f>
        <v>0</v>
      </c>
      <c r="T137" s="48">
        <f>IF(T109=1,IF(U122=1,1,0),0)</f>
        <v>0</v>
      </c>
      <c r="V137" s="52">
        <f>IF(V109=1,IF(U122=1,1,0),0)</f>
        <v>0</v>
      </c>
      <c r="W137" s="48">
        <f>IF(W109=1,IF(X122=1,1,0),0)</f>
        <v>0</v>
      </c>
      <c r="Y137" s="52">
        <f>IF(Y109=1,IF(X122=1,1,0),0)</f>
        <v>0</v>
      </c>
      <c r="Z137" s="48">
        <f>IF(Z109=1,IF(AA122=1,1,0),0)</f>
        <v>0</v>
      </c>
      <c r="AB137" s="52">
        <f>IF(AB109=1,IF(AA122=1,1,0),0)</f>
        <v>0</v>
      </c>
      <c r="AC137" s="48">
        <f>IF(AC109=1,IF(AD122=1,1,0),0)</f>
        <v>0</v>
      </c>
      <c r="AE137" s="52">
        <f>IF(AE109=1,IF(AD122=1,1,0),0)</f>
        <v>0</v>
      </c>
      <c r="AF137" s="48">
        <f>SUM(B137:AE137)</f>
        <v>3</v>
      </c>
    </row>
    <row r="138" spans="1:37" s="48" customFormat="1" ht="12.75" hidden="1" customHeight="1" x14ac:dyDescent="0.25">
      <c r="A138" s="48" t="s">
        <v>84</v>
      </c>
      <c r="B138" s="48">
        <f>IF(B109=2,IF(C122=1,1,0),0)</f>
        <v>1</v>
      </c>
      <c r="D138" s="52">
        <f>IF(D109=2,IF(C122=1,1,0),0)</f>
        <v>0</v>
      </c>
      <c r="E138" s="48">
        <f>IF(E109=2,IF(F122=1,1,0),0)</f>
        <v>0</v>
      </c>
      <c r="G138" s="52">
        <f>IF(G109=2,IF(F122=1,1,0),0)</f>
        <v>0</v>
      </c>
      <c r="H138" s="48">
        <f>IF(H109=2,IF(I122=1,1,0),0)</f>
        <v>1</v>
      </c>
      <c r="J138" s="52">
        <f>IF(J109=2,IF(I122=1,1,0),0)</f>
        <v>0</v>
      </c>
      <c r="K138" s="48">
        <f>IF(K109=2,IF(L122=1,1,0),0)</f>
        <v>0</v>
      </c>
      <c r="M138" s="52">
        <f>IF(M109=2,IF(L122=1,1,0),0)</f>
        <v>0</v>
      </c>
      <c r="N138" s="48">
        <f>IF(N109=2,IF(O122=1,1,0),0)</f>
        <v>0</v>
      </c>
      <c r="P138" s="52">
        <f>IF(P109=2,IF(O122=1,1,0),0)</f>
        <v>0</v>
      </c>
      <c r="Q138" s="48">
        <f>IF(Q109=2,IF(R122=1,1,0),0)</f>
        <v>0</v>
      </c>
      <c r="S138" s="52">
        <f>IF(S109=2,IF(R122=1,1,0),0)</f>
        <v>1</v>
      </c>
      <c r="T138" s="48">
        <f>IF(T109=2,IF(U122=1,1,0),0)</f>
        <v>0</v>
      </c>
      <c r="V138" s="52">
        <f>IF(V109=2,IF(U122=1,1,0),0)</f>
        <v>0</v>
      </c>
      <c r="W138" s="48">
        <f>IF(W109=2,IF(X122=1,1,0),0)</f>
        <v>0</v>
      </c>
      <c r="Y138" s="52">
        <f>IF(Y109=2,IF(X122=1,1,0),0)</f>
        <v>0</v>
      </c>
      <c r="Z138" s="48">
        <f>IF(Z109=2,IF(AA122=1,1,0),0)</f>
        <v>0</v>
      </c>
      <c r="AB138" s="52">
        <f>IF(AB109=2,IF(AA122=1,1,0),0)</f>
        <v>0</v>
      </c>
      <c r="AC138" s="48">
        <f>IF(AC109=2,IF(AD122=1,1,0),0)</f>
        <v>0</v>
      </c>
      <c r="AE138" s="52">
        <f>IF(AE109=2,IF(AD122=1,1,0),0)</f>
        <v>0</v>
      </c>
      <c r="AF138" s="48">
        <f>SUM(B138:AE138)</f>
        <v>3</v>
      </c>
    </row>
    <row r="139" spans="1:37" s="48" customFormat="1" ht="12.75" hidden="1" customHeight="1" x14ac:dyDescent="0.25">
      <c r="A139" s="48" t="s">
        <v>85</v>
      </c>
      <c r="B139" s="48">
        <f>IF(B109=3,IF(C122=1,1,0),0)</f>
        <v>0</v>
      </c>
      <c r="D139" s="52">
        <f>IF(D109=3,IF(C122=1,1,0),0)</f>
        <v>1</v>
      </c>
      <c r="E139" s="48">
        <f>IF(E109=3,IF(F122=1,1,0),0)</f>
        <v>0</v>
      </c>
      <c r="G139" s="52">
        <f>IF(G109=3,IF(F122=1,1,0),0)</f>
        <v>0</v>
      </c>
      <c r="H139" s="48">
        <f>IF(H109=3,IF(I122=1,1,0),0)</f>
        <v>0</v>
      </c>
      <c r="J139" s="52">
        <f>IF(J109=3,IF(I122=1,1,0),0)</f>
        <v>0</v>
      </c>
      <c r="K139" s="48">
        <f>IF(K109=3,IF(L122=1,1,0),0)</f>
        <v>0</v>
      </c>
      <c r="M139" s="52">
        <f>IF(M109=3,IF(L122=1,1,0),0)</f>
        <v>1</v>
      </c>
      <c r="N139" s="48">
        <f>IF(N109=3,IF(O122=1,1,0),0)</f>
        <v>1</v>
      </c>
      <c r="P139" s="52">
        <f>IF(P109=3,IF(O122=1,1,0),0)</f>
        <v>0</v>
      </c>
      <c r="Q139" s="48">
        <f>IF(Q109=3,IF(R122=1,1,0),0)</f>
        <v>0</v>
      </c>
      <c r="S139" s="52">
        <f>IF(S109=3,IF(R122=1,1,0),0)</f>
        <v>0</v>
      </c>
      <c r="T139" s="48">
        <f>IF(T109=3,IF(U122=1,1,0),0)</f>
        <v>0</v>
      </c>
      <c r="V139" s="52">
        <f>IF(V109=3,IF(U122=1,1,0),0)</f>
        <v>0</v>
      </c>
      <c r="W139" s="48">
        <f>IF(W109=3,IF(X122=1,1,0),0)</f>
        <v>0</v>
      </c>
      <c r="Y139" s="52">
        <f>IF(Y109=3,IF(X122=1,1,0),0)</f>
        <v>0</v>
      </c>
      <c r="Z139" s="48">
        <f>IF(Z109=3,IF(AA122=1,1,0),0)</f>
        <v>0</v>
      </c>
      <c r="AB139" s="52">
        <f>IF(AB109=3,IF(AA122=1,1,0),0)</f>
        <v>0</v>
      </c>
      <c r="AC139" s="48">
        <f>IF(AC109=3,IF(AD122=1,1,0),0)</f>
        <v>0</v>
      </c>
      <c r="AE139" s="52">
        <f>IF(AE109=3,IF(AD122=1,1,0),0)</f>
        <v>0</v>
      </c>
      <c r="AF139" s="48">
        <f>SUM(B139:AE139)</f>
        <v>3</v>
      </c>
    </row>
    <row r="140" spans="1:37" s="48" customFormat="1" ht="12.75" hidden="1" customHeight="1" x14ac:dyDescent="0.25">
      <c r="A140" s="48" t="s">
        <v>86</v>
      </c>
      <c r="B140" s="48">
        <f>IF(B109=4,IF(C122=1,1,0),0)</f>
        <v>0</v>
      </c>
      <c r="D140" s="52">
        <f>IF(D109=4,IF(C122=1,1,0),0)</f>
        <v>0</v>
      </c>
      <c r="E140" s="48">
        <f>IF(E109=4,IF(F122=1,1,0),0)</f>
        <v>0</v>
      </c>
      <c r="G140" s="52">
        <f>IF(G109=4,IF(F122=1,1,0),0)</f>
        <v>1</v>
      </c>
      <c r="H140" s="48">
        <f>IF(H109=4,IF(I122=1,1,0),0)</f>
        <v>0</v>
      </c>
      <c r="J140" s="52">
        <f>IF(J109=4,IF(I122=1,1,0),0)</f>
        <v>1</v>
      </c>
      <c r="K140" s="48">
        <f>IF(K109=4,IF(L122=1,1,0),0)</f>
        <v>0</v>
      </c>
      <c r="M140" s="52">
        <f>IF(M109=4,IF(L122=1,1,0),0)</f>
        <v>0</v>
      </c>
      <c r="N140" s="48">
        <f>IF(N109=4,IF(O122=1,1,0),0)</f>
        <v>0</v>
      </c>
      <c r="P140" s="52">
        <f>IF(P109=4,IF(O122=1,1,0),0)</f>
        <v>1</v>
      </c>
      <c r="Q140" s="48">
        <f>IF(Q109=4,IF(R122=1,1,0),0)</f>
        <v>0</v>
      </c>
      <c r="S140" s="52">
        <f>IF(S109=4,IF(R122=1,1,0),0)</f>
        <v>0</v>
      </c>
      <c r="T140" s="48">
        <f>IF(T109=4,IF(U122=1,1,0),0)</f>
        <v>0</v>
      </c>
      <c r="V140" s="52">
        <f>IF(V109=4,IF(U122=1,1,0),0)</f>
        <v>0</v>
      </c>
      <c r="W140" s="48">
        <f>IF(W109=4,IF(X122=1,1,0),0)</f>
        <v>0</v>
      </c>
      <c r="Y140" s="52">
        <f>IF(Y109=4,IF(X122=1,1,0),0)</f>
        <v>0</v>
      </c>
      <c r="Z140" s="48">
        <f>IF(Z109=4,IF(AA122=1,1,0),0)</f>
        <v>0</v>
      </c>
      <c r="AB140" s="52">
        <f>IF(AB109=4,IF(AA122=1,1,0),0)</f>
        <v>0</v>
      </c>
      <c r="AC140" s="48">
        <f>IF(AC109=4,IF(AD122=1,1,0),0)</f>
        <v>0</v>
      </c>
      <c r="AE140" s="52">
        <f>IF(AE109=4,IF(AD122=1,1,0),0)</f>
        <v>0</v>
      </c>
      <c r="AF140" s="48">
        <f>SUM(B140:AE140)</f>
        <v>3</v>
      </c>
    </row>
    <row r="141" spans="1:37" s="48" customFormat="1" ht="12.75" hidden="1" customHeight="1" x14ac:dyDescent="0.25">
      <c r="A141" s="48" t="s">
        <v>87</v>
      </c>
      <c r="B141" s="48">
        <f>IF(B109=5,IF(C122=1,1,0),0)</f>
        <v>0</v>
      </c>
      <c r="D141" s="52">
        <f>IF(D109=5,IF(C122=1,1,0),0)</f>
        <v>0</v>
      </c>
      <c r="E141" s="48">
        <f>IF(E109=5,IF(F122=1,1,0),0)</f>
        <v>0</v>
      </c>
      <c r="G141" s="52">
        <f>IF(G109=5,IF(F122=1,1,0),0)</f>
        <v>0</v>
      </c>
      <c r="H141" s="48">
        <f>IF(H109=5,IF(I122=1,1,0),0)</f>
        <v>0</v>
      </c>
      <c r="J141" s="52">
        <f>IF(J109=5,IF(I122=1,1,0),0)</f>
        <v>0</v>
      </c>
      <c r="K141" s="48">
        <f>IF(K109=5,IF(L122=1,1,0),0)</f>
        <v>0</v>
      </c>
      <c r="M141" s="52">
        <f>IF(M109=5,IF(L122=1,1,0),0)</f>
        <v>0</v>
      </c>
      <c r="N141" s="48">
        <f>IF(N109=5,IF(O122=1,1,0),0)</f>
        <v>0</v>
      </c>
      <c r="P141" s="52">
        <f>IF(P109=5,IF(O122=1,1,0),0)</f>
        <v>0</v>
      </c>
      <c r="Q141" s="48">
        <f>IF(Q109=5,IF(R122=1,1,0),0)</f>
        <v>0</v>
      </c>
      <c r="S141" s="52">
        <f>IF(S109=5,IF(R122=1,1,0),0)</f>
        <v>0</v>
      </c>
      <c r="T141" s="48">
        <f>IF(T109=5,IF(U122=1,1,0),0)</f>
        <v>0</v>
      </c>
      <c r="V141" s="52">
        <f>IF(V109=5,IF(U122=1,1,0),0)</f>
        <v>0</v>
      </c>
      <c r="W141" s="48">
        <f>IF(W109=5,IF(X122=1,1,0),0)</f>
        <v>0</v>
      </c>
      <c r="Y141" s="52">
        <f>IF(Y109=5,IF(X122=1,1,0),0)</f>
        <v>0</v>
      </c>
      <c r="Z141" s="48">
        <f>IF(Z109=5,IF(AA122=1,1,0),0)</f>
        <v>0</v>
      </c>
      <c r="AB141" s="52">
        <f>IF(AB109=5,IF(AA122=1,1,0),0)</f>
        <v>0</v>
      </c>
      <c r="AC141" s="48">
        <f>IF(AC109=5,IF(AD122=1,1,0),0)</f>
        <v>0</v>
      </c>
      <c r="AE141" s="52">
        <f>IF(AE109=5,IF(AD122=1,1,0),0)</f>
        <v>0</v>
      </c>
      <c r="AF141" s="48">
        <f>SUM(B141:AE141)</f>
        <v>0</v>
      </c>
    </row>
    <row r="142" spans="1:37" s="48" customFormat="1" ht="38.25" hidden="1" customHeight="1" x14ac:dyDescent="0.25">
      <c r="A142" s="51"/>
      <c r="D142" s="52"/>
      <c r="G142" s="52"/>
      <c r="J142" s="52"/>
      <c r="M142" s="52"/>
      <c r="P142" s="52"/>
      <c r="S142" s="52"/>
      <c r="V142" s="52"/>
      <c r="Y142" s="52"/>
      <c r="AB142" s="52"/>
      <c r="AE142" s="52"/>
      <c r="AF142" s="51" t="s">
        <v>88</v>
      </c>
      <c r="AG142" s="150"/>
      <c r="AH142" s="150"/>
      <c r="AI142" s="150"/>
      <c r="AJ142" s="150"/>
      <c r="AK142" s="150"/>
    </row>
    <row r="143" spans="1:37" s="48" customFormat="1" ht="12.75" hidden="1" customHeight="1" x14ac:dyDescent="0.25">
      <c r="A143" s="48" t="s">
        <v>83</v>
      </c>
      <c r="B143" s="48">
        <f>IF(B109=1,B129,0)</f>
        <v>0</v>
      </c>
      <c r="D143" s="52">
        <f>IF(D109=1,B129,0)</f>
        <v>0</v>
      </c>
      <c r="E143" s="48">
        <f>IF(E109=1,E129,0)</f>
        <v>31</v>
      </c>
      <c r="G143" s="52">
        <f>IF(G109=1,E129,0)</f>
        <v>0</v>
      </c>
      <c r="H143" s="48">
        <f>IF(H109=1,H129,0)</f>
        <v>0</v>
      </c>
      <c r="J143" s="52">
        <f>IF(J109=1,H129,0)</f>
        <v>0</v>
      </c>
      <c r="K143" s="48">
        <f>IF(K109=1,K129,0)</f>
        <v>34</v>
      </c>
      <c r="M143" s="52">
        <f>IF(M109=1,K129,0)</f>
        <v>0</v>
      </c>
      <c r="N143" s="48">
        <f>IF(N109=1,N129,0)</f>
        <v>0</v>
      </c>
      <c r="P143" s="52">
        <f>IF(P109=1,N129,0)</f>
        <v>0</v>
      </c>
      <c r="Q143" s="48">
        <f>IF(Q109=1,Q129,0)</f>
        <v>26</v>
      </c>
      <c r="S143" s="52">
        <f>IF(S109=1,Q129,0)</f>
        <v>0</v>
      </c>
      <c r="T143" s="48">
        <f>IF(T109=1,T129,0)</f>
        <v>0</v>
      </c>
      <c r="V143" s="52">
        <f>IF(V109=1,T129,0)</f>
        <v>0</v>
      </c>
      <c r="W143" s="48">
        <f>IF(W109=1,W129,0)</f>
        <v>0</v>
      </c>
      <c r="Y143" s="52">
        <f>IF(Y109=1,W129,0)</f>
        <v>0</v>
      </c>
      <c r="Z143" s="48">
        <f>IF(Z109=1,Z129,0)</f>
        <v>0</v>
      </c>
      <c r="AB143" s="52">
        <f>IF(AB109=1,Z129,0)</f>
        <v>0</v>
      </c>
      <c r="AC143" s="48">
        <f>IF(AC109=1,AC129,0)</f>
        <v>0</v>
      </c>
      <c r="AE143" s="52">
        <f>IF(AE109=1,AC129,0)</f>
        <v>0</v>
      </c>
      <c r="AF143" s="48">
        <f>SUM(B143:AE143)</f>
        <v>91</v>
      </c>
    </row>
    <row r="144" spans="1:37" s="48" customFormat="1" ht="12.75" hidden="1" customHeight="1" x14ac:dyDescent="0.25">
      <c r="A144" s="48" t="s">
        <v>84</v>
      </c>
      <c r="B144" s="48">
        <f>IF(B109=2,B129,0)</f>
        <v>34</v>
      </c>
      <c r="D144" s="52">
        <f>IF(D109=2,B129,0)</f>
        <v>0</v>
      </c>
      <c r="E144" s="48">
        <f>IF(E109=2,E129,0)</f>
        <v>0</v>
      </c>
      <c r="G144" s="52">
        <f>IF(G109=2,E129,0)</f>
        <v>0</v>
      </c>
      <c r="H144" s="48">
        <f>IF(H109=2,H129,0)</f>
        <v>25</v>
      </c>
      <c r="J144" s="52">
        <f>IF(J109=2,H129,0)</f>
        <v>0</v>
      </c>
      <c r="K144" s="48">
        <f>IF(K109=2,K129,0)</f>
        <v>0</v>
      </c>
      <c r="M144" s="52">
        <f>IF(M109=2,K129,0)</f>
        <v>0</v>
      </c>
      <c r="N144" s="48">
        <f>IF(N109=2,N129,0)</f>
        <v>0</v>
      </c>
      <c r="P144" s="52">
        <f>IF(P109=2,N129,0)</f>
        <v>0</v>
      </c>
      <c r="Q144" s="48">
        <f>IF(Q109=2,Q129,0)</f>
        <v>0</v>
      </c>
      <c r="S144" s="52">
        <f>IF(S109=2,Q129,0)</f>
        <v>26</v>
      </c>
      <c r="T144" s="48">
        <f>IF(T109=2,T129,0)</f>
        <v>0</v>
      </c>
      <c r="V144" s="52">
        <f>IF(V109=2,T129,0)</f>
        <v>0</v>
      </c>
      <c r="W144" s="48">
        <f>IF(W109=2,W129,0)</f>
        <v>0</v>
      </c>
      <c r="Y144" s="52">
        <f>IF(Y109=2,W129,0)</f>
        <v>0</v>
      </c>
      <c r="Z144" s="48">
        <f>IF(Z109=2,Z129,0)</f>
        <v>0</v>
      </c>
      <c r="AB144" s="52">
        <f>IF(AB109=2,Z129,0)</f>
        <v>0</v>
      </c>
      <c r="AC144" s="48">
        <f>IF(AC109=2,AC129,0)</f>
        <v>0</v>
      </c>
      <c r="AE144" s="52">
        <f>IF(AE109=2,AC129,0)</f>
        <v>0</v>
      </c>
      <c r="AF144" s="48">
        <f>SUM(B144:AE144)</f>
        <v>85</v>
      </c>
    </row>
    <row r="145" spans="1:33" s="48" customFormat="1" ht="12.75" hidden="1" customHeight="1" x14ac:dyDescent="0.25">
      <c r="A145" s="48" t="s">
        <v>85</v>
      </c>
      <c r="B145" s="48">
        <f>IF(B109=3,B129,0)</f>
        <v>0</v>
      </c>
      <c r="D145" s="52">
        <f>IF(D109=3,B129,0)</f>
        <v>34</v>
      </c>
      <c r="E145" s="48">
        <f>IF(E109=3,E129,0)</f>
        <v>0</v>
      </c>
      <c r="G145" s="52">
        <f>IF(G109=3,E129,0)</f>
        <v>0</v>
      </c>
      <c r="H145" s="48">
        <f>IF(H109=3,H129,0)</f>
        <v>0</v>
      </c>
      <c r="J145" s="52">
        <f>IF(J109=3,H129,0)</f>
        <v>0</v>
      </c>
      <c r="K145" s="48">
        <f>IF(K109=3,K129,0)</f>
        <v>0</v>
      </c>
      <c r="M145" s="52">
        <f>IF(M109=3,K129,0)</f>
        <v>34</v>
      </c>
      <c r="N145" s="48">
        <f>IF(N109=3,N129,0)</f>
        <v>29</v>
      </c>
      <c r="P145" s="52">
        <f>IF(P109=3,N129,0)</f>
        <v>0</v>
      </c>
      <c r="Q145" s="48">
        <f>IF(Q109=3,Q129,0)</f>
        <v>0</v>
      </c>
      <c r="S145" s="52">
        <f>IF(S109=3,Q129,0)</f>
        <v>0</v>
      </c>
      <c r="T145" s="48">
        <f>IF(T109=3,T129,0)</f>
        <v>0</v>
      </c>
      <c r="V145" s="52">
        <f>IF(V109=3,T129,0)</f>
        <v>0</v>
      </c>
      <c r="W145" s="48">
        <f>IF(W109=3,W129,0)</f>
        <v>0</v>
      </c>
      <c r="Y145" s="52">
        <f>IF(Y109=3,W129,0)</f>
        <v>0</v>
      </c>
      <c r="Z145" s="48">
        <f>IF(Z109=3,Z129,0)</f>
        <v>0</v>
      </c>
      <c r="AB145" s="52">
        <f>IF(AB109=3,Z129,0)</f>
        <v>0</v>
      </c>
      <c r="AC145" s="48">
        <f>IF(AC109=3,AC129,0)</f>
        <v>0</v>
      </c>
      <c r="AE145" s="52">
        <f>IF(AE109=3,AC129,0)</f>
        <v>0</v>
      </c>
      <c r="AF145" s="48">
        <f>SUM(B145:AE145)</f>
        <v>97</v>
      </c>
    </row>
    <row r="146" spans="1:33" s="48" customFormat="1" ht="12.75" hidden="1" customHeight="1" x14ac:dyDescent="0.25">
      <c r="A146" s="48" t="s">
        <v>86</v>
      </c>
      <c r="B146" s="48">
        <f>IF(B109=4,B129,0)</f>
        <v>0</v>
      </c>
      <c r="D146" s="52">
        <f>IF(D109=4,B129,0)</f>
        <v>0</v>
      </c>
      <c r="E146" s="48">
        <f>IF(E109=4,E129,0)</f>
        <v>0</v>
      </c>
      <c r="G146" s="52">
        <f>IF(G109=4,E129,0)</f>
        <v>31</v>
      </c>
      <c r="H146" s="48">
        <f>IF(H109=4,H129,0)</f>
        <v>0</v>
      </c>
      <c r="J146" s="52">
        <f>IF(J109=4,H129,0)</f>
        <v>25</v>
      </c>
      <c r="K146" s="48">
        <f>IF(K109=4,K129,0)</f>
        <v>0</v>
      </c>
      <c r="M146" s="52">
        <f>IF(M109=4,K129,0)</f>
        <v>0</v>
      </c>
      <c r="N146" s="48">
        <f>IF(N109=4,N129,0)</f>
        <v>0</v>
      </c>
      <c r="P146" s="52">
        <f>IF(P109=4,N129,0)</f>
        <v>29</v>
      </c>
      <c r="Q146" s="48">
        <f>IF(Q109=4,Q129,0)</f>
        <v>0</v>
      </c>
      <c r="S146" s="52">
        <f>IF(S109=4,Q129,0)</f>
        <v>0</v>
      </c>
      <c r="T146" s="48">
        <f>IF(T109=4,T129,0)</f>
        <v>0</v>
      </c>
      <c r="V146" s="52">
        <f>IF(V109=4,T129,0)</f>
        <v>0</v>
      </c>
      <c r="W146" s="48">
        <f>IF(W109=4,W129,0)</f>
        <v>0</v>
      </c>
      <c r="Y146" s="52">
        <f>IF(Y109=4,W129,0)</f>
        <v>0</v>
      </c>
      <c r="Z146" s="48">
        <f>IF(Z109=4,Z129,0)</f>
        <v>0</v>
      </c>
      <c r="AB146" s="52">
        <f>IF(AB109=4,Z129,0)</f>
        <v>0</v>
      </c>
      <c r="AC146" s="48">
        <f>IF(AC109=4,AC129,0)</f>
        <v>0</v>
      </c>
      <c r="AE146" s="52">
        <f>IF(AE109=4,AC129,0)</f>
        <v>0</v>
      </c>
      <c r="AF146" s="48">
        <f>SUM(B146:AE146)</f>
        <v>85</v>
      </c>
    </row>
    <row r="147" spans="1:33" s="48" customFormat="1" ht="12.75" hidden="1" customHeight="1" x14ac:dyDescent="0.25">
      <c r="A147" s="48" t="s">
        <v>87</v>
      </c>
      <c r="B147" s="48">
        <f>IF(B109=5,B129,0)</f>
        <v>0</v>
      </c>
      <c r="D147" s="52">
        <f>IF(D109=5,B129,0)</f>
        <v>0</v>
      </c>
      <c r="E147" s="48">
        <f>IF(E109=5,E129,0)</f>
        <v>0</v>
      </c>
      <c r="G147" s="52">
        <f>IF(G109=5,E129,0)</f>
        <v>0</v>
      </c>
      <c r="H147" s="48">
        <f>IF(H109=5,H129,0)</f>
        <v>0</v>
      </c>
      <c r="J147" s="52">
        <f>IF(J109=5,H129,0)</f>
        <v>0</v>
      </c>
      <c r="K147" s="48">
        <f>IF(K109=5,K129,0)</f>
        <v>0</v>
      </c>
      <c r="M147" s="52">
        <f>IF(M109=5,K129,0)</f>
        <v>0</v>
      </c>
      <c r="N147" s="48">
        <f>IF(N109=5,N129,0)</f>
        <v>0</v>
      </c>
      <c r="P147" s="52">
        <f>IF(P109=5,N129,0)</f>
        <v>0</v>
      </c>
      <c r="Q147" s="48">
        <f>IF(Q109=5,Q129,0)</f>
        <v>0</v>
      </c>
      <c r="S147" s="52">
        <f>IF(S109=5,Q129,0)</f>
        <v>0</v>
      </c>
      <c r="T147" s="48">
        <f>IF(T109=5,T129,0)</f>
        <v>0</v>
      </c>
      <c r="V147" s="52">
        <f>IF(V109=5,T129,0)</f>
        <v>0</v>
      </c>
      <c r="W147" s="48">
        <f>IF(W109=5,W129,0)</f>
        <v>0</v>
      </c>
      <c r="Y147" s="52">
        <f>IF(Y109=5,W129,0)</f>
        <v>0</v>
      </c>
      <c r="Z147" s="48">
        <f>IF(Z109=5,Z129,0)</f>
        <v>0</v>
      </c>
      <c r="AB147" s="52">
        <f>IF(AB109=5,Z129,0)</f>
        <v>0</v>
      </c>
      <c r="AC147" s="48">
        <f>IF(AC109=5,AC129,0)</f>
        <v>0</v>
      </c>
      <c r="AE147" s="52">
        <f>IF(AE109=5,AC129,0)</f>
        <v>0</v>
      </c>
      <c r="AF147" s="48">
        <f>SUM(B147:AE147)</f>
        <v>0</v>
      </c>
    </row>
    <row r="148" spans="1:33" s="48" customFormat="1" ht="38.25" hidden="1" customHeight="1" x14ac:dyDescent="0.25">
      <c r="A148" s="48" t="s">
        <v>89</v>
      </c>
      <c r="D148" s="52"/>
      <c r="G148" s="52"/>
      <c r="J148" s="52"/>
      <c r="M148" s="52"/>
      <c r="P148" s="52"/>
      <c r="S148" s="52"/>
      <c r="V148" s="52"/>
      <c r="Y148" s="52"/>
      <c r="AB148" s="52"/>
      <c r="AE148" s="52"/>
      <c r="AF148" s="51" t="s">
        <v>90</v>
      </c>
      <c r="AG148" s="48" t="s">
        <v>91</v>
      </c>
    </row>
    <row r="149" spans="1:33" s="48" customFormat="1" ht="12.75" hidden="1" customHeight="1" x14ac:dyDescent="0.25">
      <c r="A149" s="48" t="s">
        <v>77</v>
      </c>
      <c r="B149" s="48">
        <f>IF(B109=1,SUMIF(B116:B120,"&gt;0"),0)</f>
        <v>0</v>
      </c>
      <c r="D149" s="52">
        <f>IF(D109=1,SUMIF(D116:D120,"&gt;0"),0)</f>
        <v>0</v>
      </c>
      <c r="E149" s="48">
        <f>IF(E109=1,SUMIF(E116:E120,"&gt;0"),0)</f>
        <v>1</v>
      </c>
      <c r="G149" s="52">
        <f>IF(G109=1,SUMIF(G116:G120,"&gt;0"),0)</f>
        <v>0</v>
      </c>
      <c r="H149" s="48">
        <f>IF(H109=1,SUMIF(H116:H120,"&gt;0"),0)</f>
        <v>0</v>
      </c>
      <c r="J149" s="52">
        <f>IF(J109=1,SUMIF(J116:J120,"&gt;0"),0)</f>
        <v>0</v>
      </c>
      <c r="K149" s="48">
        <f>IF(K109=1,SUMIF(K116:K120,"&gt;0"),0)</f>
        <v>0</v>
      </c>
      <c r="M149" s="52">
        <f>IF(M109=1,SUMIF(M116:M120,"&gt;0"),0)</f>
        <v>0</v>
      </c>
      <c r="N149" s="48">
        <f>IF(N109=1,SUMIF(N116:N120,"&gt;0"),0)</f>
        <v>0</v>
      </c>
      <c r="P149" s="52">
        <f>IF(P109=1,SUMIF(P116:P120,"&gt;0"),0)</f>
        <v>0</v>
      </c>
      <c r="Q149" s="48">
        <f>IF(Q109=1,SUMIF(Q116:Q120,"&gt;0"),0)</f>
        <v>1</v>
      </c>
      <c r="S149" s="52">
        <f>IF(S109=1,SUMIF(S116:S120,"&gt;0"),0)</f>
        <v>0</v>
      </c>
      <c r="T149" s="48">
        <f>IF(T109=1,SUMIF(T116:T120,"&gt;0"),0)</f>
        <v>0</v>
      </c>
      <c r="V149" s="52">
        <f>IF(V109=1,SUMIF(V116:V120,"&gt;0"),0)</f>
        <v>0</v>
      </c>
      <c r="W149" s="48">
        <f>IF(W109=1,SUMIF(W116:W120,"&gt;0"),0)</f>
        <v>0</v>
      </c>
      <c r="Y149" s="52">
        <f>IF(Y109=1,SUMIF(Y116:Y120,"&gt;0"),0)</f>
        <v>0</v>
      </c>
      <c r="Z149" s="48">
        <f>IF(Z109=1,SUMIF(Z116:Z120,"&gt;0"),0)</f>
        <v>0</v>
      </c>
      <c r="AB149" s="52">
        <f>IF(AB109=1,SUMIF(AB116:AB120,"&gt;0"),0)</f>
        <v>0</v>
      </c>
      <c r="AC149" s="48">
        <f>IF(AC109=1,SUMIF(AC116:AC120,"&gt;0"),0)</f>
        <v>0</v>
      </c>
      <c r="AE149" s="52">
        <f>IF(AE109=1,SUMIF(AE116:AE120,"&gt;0"),0)</f>
        <v>0</v>
      </c>
      <c r="AF149" s="48">
        <f>SUM(B149:AE149)</f>
        <v>2</v>
      </c>
      <c r="AG149" s="48">
        <f>AF157-AF149</f>
        <v>1</v>
      </c>
    </row>
    <row r="150" spans="1:33" s="48" customFormat="1" ht="12.75" hidden="1" customHeight="1" x14ac:dyDescent="0.25">
      <c r="A150" s="48" t="s">
        <v>78</v>
      </c>
      <c r="B150" s="48">
        <f>IF(B109=2,SUMIF(B116:B120,"&gt;0"),0)</f>
        <v>1</v>
      </c>
      <c r="D150" s="52">
        <f>IF(D109=2,SUMIF(D116:D120,"&gt;0"),0)</f>
        <v>0</v>
      </c>
      <c r="E150" s="48">
        <f>IF(E109=2,SUMIF(E116:E120,"&gt;0"),0)</f>
        <v>0</v>
      </c>
      <c r="G150" s="52">
        <f>IF(G109=2,SUMIF(G116:G120,"&gt;0"),0)</f>
        <v>0</v>
      </c>
      <c r="H150" s="48">
        <f>IF(H109=2,SUMIF(H116:H120,"&gt;0"),0)</f>
        <v>0</v>
      </c>
      <c r="J150" s="52">
        <f>IF(J109=2,SUMIF(J116:J120,"&gt;0"),0)</f>
        <v>0</v>
      </c>
      <c r="K150" s="48">
        <f>IF(K109=2,SUMIF(K116:K120,"&gt;0"),0)</f>
        <v>0</v>
      </c>
      <c r="M150" s="52">
        <f>IF(M109=2,SUMIF(M116:M120,"&gt;0"),0)</f>
        <v>0</v>
      </c>
      <c r="N150" s="48">
        <f>IF(N109=2,SUMIF(N116:N120,"&gt;0"),0)</f>
        <v>0</v>
      </c>
      <c r="P150" s="52">
        <f>IF(P109=2,SUMIF(P116:P120,"&gt;0"),0)</f>
        <v>0</v>
      </c>
      <c r="Q150" s="48">
        <f>IF(Q109=2,SUMIF(Q116:Q120,"&gt;0"),0)</f>
        <v>0</v>
      </c>
      <c r="S150" s="52">
        <f>IF(S109=2,SUMIF(S116:S120,"&gt;0"),0)</f>
        <v>0</v>
      </c>
      <c r="T150" s="48">
        <f>IF(T109=2,SUMIF(T116:T120,"&gt;0"),0)</f>
        <v>0</v>
      </c>
      <c r="V150" s="52">
        <f>IF(V109=2,SUMIF(V116:V120,"&gt;0"),0)</f>
        <v>0</v>
      </c>
      <c r="W150" s="48">
        <f>IF(W109=2,SUMIF(W116:W120,"&gt;0"),0)</f>
        <v>0</v>
      </c>
      <c r="Y150" s="52">
        <f>IF(Y109=2,SUMIF(Y116:Y120,"&gt;0"),0)</f>
        <v>0</v>
      </c>
      <c r="Z150" s="48">
        <f>IF(Z109=2,SUMIF(Z116:Z120,"&gt;0"),0)</f>
        <v>0</v>
      </c>
      <c r="AB150" s="52">
        <f>IF(AB109=2,SUMIF(AB116:AB120,"&gt;0"),0)</f>
        <v>0</v>
      </c>
      <c r="AC150" s="48">
        <f>IF(AC109=2,SUMIF(AC116:AC120,"&gt;0"),0)</f>
        <v>0</v>
      </c>
      <c r="AE150" s="52">
        <f>IF(AE109=2,SUMIF(AE116:AE120,"&gt;0"),0)</f>
        <v>0</v>
      </c>
      <c r="AF150" s="48">
        <f>SUM(B150:AE150)</f>
        <v>1</v>
      </c>
      <c r="AG150" s="48">
        <f>AF158-AF150</f>
        <v>2</v>
      </c>
    </row>
    <row r="151" spans="1:33" s="48" customFormat="1" ht="12.75" hidden="1" customHeight="1" x14ac:dyDescent="0.25">
      <c r="A151" s="48" t="s">
        <v>79</v>
      </c>
      <c r="B151" s="48">
        <f>IF(B109=3,SUMIF(B116:B120,"&gt;0"),0)</f>
        <v>0</v>
      </c>
      <c r="D151" s="52">
        <f>IF(D109=3,SUMIF(D116:D120,"&gt;0"),0)</f>
        <v>0</v>
      </c>
      <c r="E151" s="48">
        <f>IF(E109=3,SUMIF(E116:E120,"&gt;0"),0)</f>
        <v>0</v>
      </c>
      <c r="G151" s="52">
        <f>IF(G109=3,SUMIF(G116:G120,"&gt;0"),0)</f>
        <v>0</v>
      </c>
      <c r="H151" s="48">
        <f>IF(H109=3,SUMIF(H116:H120,"&gt;0"),0)</f>
        <v>0</v>
      </c>
      <c r="J151" s="52">
        <f>IF(J109=3,SUMIF(J116:J120,"&gt;0"),0)</f>
        <v>0</v>
      </c>
      <c r="K151" s="48">
        <f>IF(K109=3,SUMIF(K116:K120,"&gt;0"),0)</f>
        <v>0</v>
      </c>
      <c r="M151" s="52">
        <f>IF(M109=3,SUMIF(M116:M120,"&gt;0"),0)</f>
        <v>1</v>
      </c>
      <c r="N151" s="48">
        <f>IF(N109=3,SUMIF(N116:N120,"&gt;0"),0)</f>
        <v>1</v>
      </c>
      <c r="P151" s="52">
        <f>IF(P109=3,SUMIF(P116:P120,"&gt;0"),0)</f>
        <v>0</v>
      </c>
      <c r="Q151" s="48">
        <f>IF(Q109=3,SUMIF(Q116:Q120,"&gt;0"),0)</f>
        <v>0</v>
      </c>
      <c r="S151" s="52">
        <f>IF(S109=3,SUMIF(S116:S120,"&gt;0"),0)</f>
        <v>0</v>
      </c>
      <c r="T151" s="48">
        <f>IF(T109=3,SUMIF(T116:T120,"&gt;0"),0)</f>
        <v>0</v>
      </c>
      <c r="V151" s="52">
        <f>IF(V109=3,SUMIF(V116:V120,"&gt;0"),0)</f>
        <v>0</v>
      </c>
      <c r="W151" s="48">
        <f>IF(W109=3,SUMIF(W116:W120,"&gt;0"),0)</f>
        <v>0</v>
      </c>
      <c r="Y151" s="52">
        <f>IF(Y109=3,SUMIF(Y116:Y120,"&gt;0"),0)</f>
        <v>0</v>
      </c>
      <c r="Z151" s="48">
        <f>IF(Z109=3,SUMIF(Z116:Z120,"&gt;0"),0)</f>
        <v>0</v>
      </c>
      <c r="AB151" s="52">
        <f>IF(AB109=3,SUMIF(AB116:AB120,"&gt;0"),0)</f>
        <v>0</v>
      </c>
      <c r="AC151" s="48">
        <f>IF(AC109=3,SUMIF(AC116:AC120,"&gt;0"),0)</f>
        <v>0</v>
      </c>
      <c r="AE151" s="52">
        <f>IF(AE109=3,SUMIF(AE116:AE120,"&gt;0"),0)</f>
        <v>0</v>
      </c>
      <c r="AF151" s="48">
        <f>SUM(B151:AE151)</f>
        <v>2</v>
      </c>
      <c r="AG151" s="48">
        <f>AF159-AF151</f>
        <v>1</v>
      </c>
    </row>
    <row r="152" spans="1:33" s="48" customFormat="1" ht="12.75" hidden="1" customHeight="1" x14ac:dyDescent="0.25">
      <c r="A152" s="48" t="s">
        <v>80</v>
      </c>
      <c r="B152" s="48">
        <f>IF(B109=4,SUMIF(B116:B120,"&gt;0"),0)</f>
        <v>0</v>
      </c>
      <c r="D152" s="52">
        <f>IF(D109=4,SUMIF(D116:D120,"&gt;0"),0)</f>
        <v>0</v>
      </c>
      <c r="E152" s="48">
        <f>IF(E109=4,SUMIF(E116:E120,"&gt;0"),0)</f>
        <v>0</v>
      </c>
      <c r="G152" s="52">
        <f>IF(G109=4,SUMIF(G116:G120,"&gt;0"),0)</f>
        <v>0</v>
      </c>
      <c r="H152" s="48">
        <f>IF(H109=4,SUMIF(H116:H120,"&gt;0"),0)</f>
        <v>0</v>
      </c>
      <c r="J152" s="52">
        <f>IF(J109=4,SUMIF(J116:J120,"&gt;0"),0)</f>
        <v>1</v>
      </c>
      <c r="K152" s="48">
        <f>IF(K109=4,SUMIF(K116:K120,"&gt;0"),0)</f>
        <v>0</v>
      </c>
      <c r="M152" s="52">
        <f>IF(M109=4,SUMIF(M116:M120,"&gt;0"),0)</f>
        <v>0</v>
      </c>
      <c r="N152" s="48">
        <f>IF(N109=4,SUMIF(N116:N120,"&gt;0"),0)</f>
        <v>0</v>
      </c>
      <c r="P152" s="52">
        <f>IF(P109=4,SUMIF(P116:P120,"&gt;0"),0)</f>
        <v>0</v>
      </c>
      <c r="Q152" s="48">
        <f>IF(Q109=4,SUMIF(Q116:Q120,"&gt;0"),0)</f>
        <v>0</v>
      </c>
      <c r="S152" s="52">
        <f>IF(S109=4,SUMIF(S116:S120,"&gt;0"),0)</f>
        <v>0</v>
      </c>
      <c r="T152" s="48">
        <f>IF(T109=4,SUMIF(T116:T120,"&gt;0"),0)</f>
        <v>0</v>
      </c>
      <c r="V152" s="52">
        <f>IF(V109=4,SUMIF(V116:V120,"&gt;0"),0)</f>
        <v>0</v>
      </c>
      <c r="W152" s="48">
        <f>IF(W109=4,SUMIF(W116:W120,"&gt;0"),0)</f>
        <v>0</v>
      </c>
      <c r="Y152" s="52">
        <f>IF(Y109=4,SUMIF(Y116:Y120,"&gt;0"),0)</f>
        <v>0</v>
      </c>
      <c r="Z152" s="48">
        <f>IF(Z109=4,SUMIF(Z116:Z120,"&gt;0"),0)</f>
        <v>0</v>
      </c>
      <c r="AB152" s="52">
        <f>IF(AB109=4,SUMIF(AB116:AB120,"&gt;0"),0)</f>
        <v>0</v>
      </c>
      <c r="AC152" s="48">
        <f>IF(AC109=4,SUMIF(AC116:AC120,"&gt;0"),0)</f>
        <v>0</v>
      </c>
      <c r="AE152" s="52">
        <f>IF(AE109=4,SUMIF(AE116:AE120,"&gt;0"),0)</f>
        <v>0</v>
      </c>
      <c r="AF152" s="48">
        <f>SUM(B152:AE152)</f>
        <v>1</v>
      </c>
      <c r="AG152" s="48">
        <f>AF160-AF152</f>
        <v>2</v>
      </c>
    </row>
    <row r="153" spans="1:33" s="48" customFormat="1" ht="12.75" hidden="1" customHeight="1" x14ac:dyDescent="0.25">
      <c r="A153" s="48" t="s">
        <v>81</v>
      </c>
      <c r="B153" s="48">
        <f>IF(B109=5,SUMIF(B116:B120,"&gt;0"),0)</f>
        <v>0</v>
      </c>
      <c r="D153" s="52">
        <f>IF(D109=5,SUMIF(D116:D120,"&gt;0"),0)</f>
        <v>0</v>
      </c>
      <c r="E153" s="48">
        <f>IF(E109=5,SUMIF(E116:E120,"&gt;0"),0)</f>
        <v>0</v>
      </c>
      <c r="G153" s="52">
        <f>IF(G109=5,SUMIF(G116:G120,"&gt;0"),0)</f>
        <v>0</v>
      </c>
      <c r="H153" s="48">
        <f>IF(H109=5,SUMIF(H116:H120,"&gt;0"),0)</f>
        <v>0</v>
      </c>
      <c r="J153" s="52">
        <f>IF(J109=5,SUMIF(J116:J120,"&gt;0"),0)</f>
        <v>0</v>
      </c>
      <c r="K153" s="48">
        <f>IF(K109=5,SUMIF(K116:K120,"&gt;0"),0)</f>
        <v>0</v>
      </c>
      <c r="M153" s="52">
        <f>IF(M109=5,SUMIF(M116:M120,"&gt;0"),0)</f>
        <v>0</v>
      </c>
      <c r="N153" s="48">
        <f>IF(N109=5,SUMIF(N116:N120,"&gt;0"),0)</f>
        <v>0</v>
      </c>
      <c r="P153" s="52">
        <f>IF(P109=5,SUMIF(P116:P120,"&gt;0"),0)</f>
        <v>0</v>
      </c>
      <c r="Q153" s="48">
        <f>IF(Q109=5,SUMIF(Q116:Q120,"&gt;0"),0)</f>
        <v>0</v>
      </c>
      <c r="S153" s="52">
        <f>IF(S109=5,SUMIF(S116:S120,"&gt;0"),0)</f>
        <v>0</v>
      </c>
      <c r="T153" s="48">
        <f>IF(T109=5,SUMIF(T116:T120,"&gt;0"),0)</f>
        <v>0</v>
      </c>
      <c r="V153" s="52">
        <f>IF(V109=5,SUMIF(V116:V120,"&gt;0"),0)</f>
        <v>0</v>
      </c>
      <c r="W153" s="48">
        <f>IF(W109=5,SUMIF(W116:W120,"&gt;0"),0)</f>
        <v>0</v>
      </c>
      <c r="Y153" s="52">
        <f>IF(Y109=5,SUMIF(Y116:Y120,"&gt;0"),0)</f>
        <v>0</v>
      </c>
      <c r="Z153" s="48">
        <f>IF(Z109=5,SUMIF(Z116:Z120,"&gt;0"),0)</f>
        <v>0</v>
      </c>
      <c r="AB153" s="52">
        <f>IF(AB109=5,SUMIF(AB116:AB120,"&gt;0"),0)</f>
        <v>0</v>
      </c>
      <c r="AC153" s="48">
        <f>IF(AC109=5,SUMIF(AC116:AC120,"&gt;0"),0)</f>
        <v>0</v>
      </c>
      <c r="AE153" s="52">
        <f>IF(AE109=5,SUMIF(AE116:AE120,"&gt;0"),0)</f>
        <v>0</v>
      </c>
      <c r="AF153" s="48">
        <f>SUM(B153:AE153)</f>
        <v>0</v>
      </c>
      <c r="AG153" s="48">
        <f>AF161-AF153</f>
        <v>0</v>
      </c>
    </row>
    <row r="154" spans="1:33" s="48" customFormat="1" ht="12.75" hidden="1" customHeight="1" x14ac:dyDescent="0.25">
      <c r="D154" s="52"/>
      <c r="G154" s="52"/>
      <c r="J154" s="52"/>
      <c r="M154" s="52"/>
      <c r="P154" s="52"/>
      <c r="S154" s="52"/>
      <c r="V154" s="52"/>
      <c r="Y154" s="52"/>
      <c r="AB154" s="52"/>
      <c r="AE154" s="52"/>
    </row>
    <row r="155" spans="1:33" s="48" customFormat="1" ht="12.75" hidden="1" customHeight="1" x14ac:dyDescent="0.25">
      <c r="D155" s="52"/>
      <c r="G155" s="52"/>
      <c r="J155" s="52"/>
      <c r="M155" s="52"/>
      <c r="P155" s="52"/>
      <c r="S155" s="52"/>
      <c r="V155" s="52"/>
      <c r="Y155" s="52"/>
      <c r="AB155" s="52"/>
      <c r="AE155" s="52"/>
    </row>
    <row r="156" spans="1:33" s="48" customFormat="1" ht="51" hidden="1" customHeight="1" x14ac:dyDescent="0.25">
      <c r="A156" s="51" t="s">
        <v>92</v>
      </c>
      <c r="C156" s="48">
        <f>SUMIF(B149:D153,"&gt;0")</f>
        <v>1</v>
      </c>
      <c r="D156" s="52"/>
      <c r="F156" s="48">
        <f>SUMIF(E149:G153,"&gt;0")</f>
        <v>1</v>
      </c>
      <c r="G156" s="52"/>
      <c r="I156" s="48">
        <f>SUMIF(H149:J153,"&gt;0")</f>
        <v>1</v>
      </c>
      <c r="J156" s="52"/>
      <c r="L156" s="48">
        <f>SUMIF(K149:M153,"&gt;0")</f>
        <v>1</v>
      </c>
      <c r="M156" s="52"/>
      <c r="O156" s="48">
        <f>SUMIF(N149:P153,"&gt;0")</f>
        <v>1</v>
      </c>
      <c r="P156" s="52"/>
      <c r="R156" s="48">
        <f>SUMIF(Q149:S153,"&gt;0")</f>
        <v>1</v>
      </c>
      <c r="S156" s="52"/>
      <c r="U156" s="48">
        <f>SUMIF(T149:V153,"&gt;0")</f>
        <v>0</v>
      </c>
      <c r="V156" s="52"/>
      <c r="X156" s="48">
        <f>SUMIF(W149:Y153,"&gt;0")</f>
        <v>0</v>
      </c>
      <c r="Y156" s="52"/>
      <c r="AA156" s="48">
        <f>SUMIF(Z149:AB153,"&gt;0")</f>
        <v>0</v>
      </c>
      <c r="AB156" s="52"/>
      <c r="AD156" s="48">
        <f>SUMIF(AC149:AE153,"&gt;0")</f>
        <v>0</v>
      </c>
      <c r="AE156" s="52"/>
      <c r="AF156" s="51" t="s">
        <v>93</v>
      </c>
    </row>
    <row r="157" spans="1:33" s="48" customFormat="1" ht="12.75" hidden="1" customHeight="1" x14ac:dyDescent="0.25">
      <c r="A157" s="48" t="s">
        <v>83</v>
      </c>
      <c r="B157" s="48">
        <f>IF(B109=1,C156,0)</f>
        <v>0</v>
      </c>
      <c r="D157" s="52">
        <f>IF(D109=1,C156,0)</f>
        <v>0</v>
      </c>
      <c r="E157" s="48">
        <f>IF(E109=1,F156,0)</f>
        <v>1</v>
      </c>
      <c r="G157" s="52">
        <f>IF(G109=1,F156,0)</f>
        <v>0</v>
      </c>
      <c r="H157" s="48">
        <f>IF(H109=1,I156,0)</f>
        <v>0</v>
      </c>
      <c r="J157" s="52">
        <f>IF(J109=1,I156,0)</f>
        <v>0</v>
      </c>
      <c r="K157" s="48">
        <f>IF(K109=1,L156,0)</f>
        <v>1</v>
      </c>
      <c r="M157" s="52">
        <f>IF(M109=1,L156,0)</f>
        <v>0</v>
      </c>
      <c r="N157" s="48">
        <f>IF(N109=1,O156,0)</f>
        <v>0</v>
      </c>
      <c r="P157" s="52">
        <f>IF(P109=1,O156,0)</f>
        <v>0</v>
      </c>
      <c r="Q157" s="48">
        <f>IF(Q109=1,R156,0)</f>
        <v>1</v>
      </c>
      <c r="S157" s="52">
        <f>IF(S109=1,R156,0)</f>
        <v>0</v>
      </c>
      <c r="T157" s="48">
        <f>IF(T109=1,U156,0)</f>
        <v>0</v>
      </c>
      <c r="V157" s="52">
        <f>IF(V109=1,U156,0)</f>
        <v>0</v>
      </c>
      <c r="W157" s="48">
        <f>IF(W109=1,X156,0)</f>
        <v>0</v>
      </c>
      <c r="Y157" s="52">
        <f>IF(Y109=1,X156,0)</f>
        <v>0</v>
      </c>
      <c r="Z157" s="48">
        <f>IF(Z109=1,AA156,0)</f>
        <v>0</v>
      </c>
      <c r="AB157" s="52">
        <f>IF(AB109=1,AA156,0)</f>
        <v>0</v>
      </c>
      <c r="AC157" s="48">
        <f>IF(AC109=1,AD156,0)</f>
        <v>0</v>
      </c>
      <c r="AE157" s="52">
        <f>IF(AE109=1,AD156,0)</f>
        <v>0</v>
      </c>
      <c r="AF157" s="48">
        <f>SUM(B157:AE157)</f>
        <v>3</v>
      </c>
    </row>
    <row r="158" spans="1:33" s="48" customFormat="1" ht="12.75" hidden="1" customHeight="1" x14ac:dyDescent="0.25">
      <c r="A158" s="48" t="s">
        <v>84</v>
      </c>
      <c r="B158" s="48">
        <f>IF(B109=2,C156,0)</f>
        <v>1</v>
      </c>
      <c r="D158" s="52">
        <f>IF(D109=2,C156,0)</f>
        <v>0</v>
      </c>
      <c r="E158" s="48">
        <f>IF(E109=2,F156,0)</f>
        <v>0</v>
      </c>
      <c r="G158" s="52">
        <f>IF(G109=2,F156,0)</f>
        <v>0</v>
      </c>
      <c r="H158" s="48">
        <f>IF(H109=2,I156,0)</f>
        <v>1</v>
      </c>
      <c r="J158" s="52">
        <f>IF(J109=2,I156,0)</f>
        <v>0</v>
      </c>
      <c r="K158" s="48">
        <f>IF(K109=2,L156,0)</f>
        <v>0</v>
      </c>
      <c r="M158" s="52">
        <f>IF(M109=2,L156,0)</f>
        <v>0</v>
      </c>
      <c r="N158" s="48">
        <f>IF(N109=2,O156,0)</f>
        <v>0</v>
      </c>
      <c r="P158" s="52">
        <f>IF(P109=2,O156,0)</f>
        <v>0</v>
      </c>
      <c r="Q158" s="48">
        <f>IF(Q109=2,R156,0)</f>
        <v>0</v>
      </c>
      <c r="S158" s="52">
        <f>IF(S109=2,R156,0)</f>
        <v>1</v>
      </c>
      <c r="T158" s="48">
        <f>IF(T109=2,U156,0)</f>
        <v>0</v>
      </c>
      <c r="V158" s="52">
        <f>IF(V109=2,U156,0)</f>
        <v>0</v>
      </c>
      <c r="W158" s="48">
        <f>IF(W109=2,X156,0)</f>
        <v>0</v>
      </c>
      <c r="Y158" s="52">
        <f>IF(Y109=2,X156,0)</f>
        <v>0</v>
      </c>
      <c r="Z158" s="48">
        <f>IF(Z109=2,AA156,0)</f>
        <v>0</v>
      </c>
      <c r="AB158" s="52">
        <f>IF(AB109=2,AA156,0)</f>
        <v>0</v>
      </c>
      <c r="AC158" s="48">
        <f>IF(AC109=2,AD156,0)</f>
        <v>0</v>
      </c>
      <c r="AE158" s="52">
        <f>IF(AE109=2,AD156,0)</f>
        <v>0</v>
      </c>
      <c r="AF158" s="48">
        <f>SUM(B158:AE158)</f>
        <v>3</v>
      </c>
    </row>
    <row r="159" spans="1:33" s="48" customFormat="1" ht="12.75" hidden="1" customHeight="1" x14ac:dyDescent="0.25">
      <c r="A159" s="48" t="s">
        <v>85</v>
      </c>
      <c r="B159" s="48">
        <f>IF(B109=3,C156,0)</f>
        <v>0</v>
      </c>
      <c r="D159" s="52">
        <f>IF(D109=3,C156,0)</f>
        <v>1</v>
      </c>
      <c r="E159" s="48">
        <f>IF(E109=3,F156,0)</f>
        <v>0</v>
      </c>
      <c r="G159" s="52">
        <f>IF(G109=3,F156,0)</f>
        <v>0</v>
      </c>
      <c r="H159" s="48">
        <f>IF(H109=3,I156,0)</f>
        <v>0</v>
      </c>
      <c r="J159" s="52">
        <f>IF(J109=3,I156,0)</f>
        <v>0</v>
      </c>
      <c r="K159" s="48">
        <f>IF(K109=3,L156,0)</f>
        <v>0</v>
      </c>
      <c r="M159" s="52">
        <f>IF(M109=3,L156,0)</f>
        <v>1</v>
      </c>
      <c r="N159" s="48">
        <f>IF(N109=3,O156,0)</f>
        <v>1</v>
      </c>
      <c r="P159" s="52">
        <f>IF(P109=3,O156,0)</f>
        <v>0</v>
      </c>
      <c r="Q159" s="48">
        <f>IF(Q109=3,R156,0)</f>
        <v>0</v>
      </c>
      <c r="S159" s="52">
        <f>IF(S109=3,R156,0)</f>
        <v>0</v>
      </c>
      <c r="T159" s="48">
        <f>IF(T109=3,U156,0)</f>
        <v>0</v>
      </c>
      <c r="V159" s="52">
        <f>IF(V109=3,U156,0)</f>
        <v>0</v>
      </c>
      <c r="W159" s="48">
        <f>IF(W109=3,X156,0)</f>
        <v>0</v>
      </c>
      <c r="Y159" s="52">
        <f>IF(Y109=3,X156,0)</f>
        <v>0</v>
      </c>
      <c r="Z159" s="48">
        <f>IF(Z109=3,AA156,0)</f>
        <v>0</v>
      </c>
      <c r="AB159" s="52">
        <f>IF(AB109=3,AA156,0)</f>
        <v>0</v>
      </c>
      <c r="AC159" s="48">
        <f>IF(AC109=3,AD156,0)</f>
        <v>0</v>
      </c>
      <c r="AE159" s="52">
        <f>IF(AE109=3,AD156,0)</f>
        <v>0</v>
      </c>
      <c r="AF159" s="48">
        <f>SUM(B159:AE159)</f>
        <v>3</v>
      </c>
    </row>
    <row r="160" spans="1:33" s="48" customFormat="1" ht="12.75" hidden="1" customHeight="1" x14ac:dyDescent="0.25">
      <c r="A160" s="48" t="s">
        <v>86</v>
      </c>
      <c r="B160" s="48">
        <f>IF(B109=4,C156,0)</f>
        <v>0</v>
      </c>
      <c r="D160" s="52">
        <f>IF(D109=4,C156,0)</f>
        <v>0</v>
      </c>
      <c r="E160" s="48">
        <f>IF(E109=4,F156,0)</f>
        <v>0</v>
      </c>
      <c r="G160" s="52">
        <f>IF(G109=4,F156,0)</f>
        <v>1</v>
      </c>
      <c r="H160" s="48">
        <f>IF(H109=4,I156,0)</f>
        <v>0</v>
      </c>
      <c r="J160" s="52">
        <f>IF(J109=4,I156,0)</f>
        <v>1</v>
      </c>
      <c r="K160" s="48">
        <f>IF(K109=4,L156,0)</f>
        <v>0</v>
      </c>
      <c r="M160" s="52">
        <f>IF(M109=4,L156,0)</f>
        <v>0</v>
      </c>
      <c r="N160" s="48">
        <f>IF(N109=4,O156,0)</f>
        <v>0</v>
      </c>
      <c r="P160" s="52">
        <f>IF(P109=4,O156,0)</f>
        <v>1</v>
      </c>
      <c r="Q160" s="48">
        <f>IF(Q109=4,R156,0)</f>
        <v>0</v>
      </c>
      <c r="S160" s="52">
        <f>IF(S109=4,R156,0)</f>
        <v>0</v>
      </c>
      <c r="T160" s="48">
        <f>IF(T109=4,U156,0)</f>
        <v>0</v>
      </c>
      <c r="V160" s="52">
        <f>IF(V109=4,U156,0)</f>
        <v>0</v>
      </c>
      <c r="W160" s="48">
        <f>IF(W109=4,X156,0)</f>
        <v>0</v>
      </c>
      <c r="Y160" s="52">
        <f>IF(Y109=4,X156,0)</f>
        <v>0</v>
      </c>
      <c r="Z160" s="48">
        <f>IF(Z109=4,AA156,0)</f>
        <v>0</v>
      </c>
      <c r="AB160" s="52">
        <f>IF(AB109=4,AA156,0)</f>
        <v>0</v>
      </c>
      <c r="AC160" s="48">
        <f>IF(AC109=4,AD156,0)</f>
        <v>0</v>
      </c>
      <c r="AE160" s="52">
        <f>IF(AE109=4,AD156,0)</f>
        <v>0</v>
      </c>
      <c r="AF160" s="48">
        <f>SUM(B160:AE160)</f>
        <v>3</v>
      </c>
    </row>
    <row r="161" spans="1:49" s="48" customFormat="1" ht="12.75" hidden="1" customHeight="1" x14ac:dyDescent="0.25">
      <c r="A161" s="48" t="s">
        <v>87</v>
      </c>
      <c r="B161" s="48">
        <f>IF(B109=5,C156,0)</f>
        <v>0</v>
      </c>
      <c r="D161" s="52">
        <f>IF(D109=5,C156,0)</f>
        <v>0</v>
      </c>
      <c r="E161" s="48">
        <f>IF(E109=5,F156,0)</f>
        <v>0</v>
      </c>
      <c r="G161" s="52">
        <f>IF(G109=5,F156,0)</f>
        <v>0</v>
      </c>
      <c r="H161" s="48">
        <f>IF(H109=5,I156,0)</f>
        <v>0</v>
      </c>
      <c r="J161" s="52">
        <f>IF(J109=5,I156,0)</f>
        <v>0</v>
      </c>
      <c r="K161" s="48">
        <f>IF(K109=5,L156,0)</f>
        <v>0</v>
      </c>
      <c r="M161" s="52">
        <f>IF(M109=5,L156,0)</f>
        <v>0</v>
      </c>
      <c r="N161" s="48">
        <f>IF(N109=5,O156,0)</f>
        <v>0</v>
      </c>
      <c r="P161" s="52">
        <f>IF(P109=5,O156,0)</f>
        <v>0</v>
      </c>
      <c r="Q161" s="48">
        <f>IF(Q109=5,R156,0)</f>
        <v>0</v>
      </c>
      <c r="S161" s="52">
        <f>IF(S109=5,R156,0)</f>
        <v>0</v>
      </c>
      <c r="T161" s="48">
        <f>IF(T109=5,U156,0)</f>
        <v>0</v>
      </c>
      <c r="V161" s="52">
        <f>IF(V109=5,U156,0)</f>
        <v>0</v>
      </c>
      <c r="W161" s="48">
        <f>IF(W109=5,X156,0)</f>
        <v>0</v>
      </c>
      <c r="Y161" s="52">
        <f>IF(Y109=5,X156,0)</f>
        <v>0</v>
      </c>
      <c r="Z161" s="48">
        <f>IF(Z109=5,AA156,0)</f>
        <v>0</v>
      </c>
      <c r="AB161" s="52">
        <f>IF(AB109=5,AA156,0)</f>
        <v>0</v>
      </c>
      <c r="AC161" s="48">
        <f>IF(AC109=5,AD156,0)</f>
        <v>0</v>
      </c>
      <c r="AE161" s="52">
        <f>IF(AE109=5,AD156,0)</f>
        <v>0</v>
      </c>
      <c r="AF161" s="48">
        <f>SUM(B161:AE161)</f>
        <v>0</v>
      </c>
      <c r="AT161" s="55"/>
      <c r="AU161" s="55"/>
      <c r="AV161" s="55"/>
    </row>
    <row r="162" spans="1:49" hidden="1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4"/>
      <c r="AO162" s="54"/>
      <c r="AP162" s="54"/>
      <c r="AQ162" s="54"/>
      <c r="AR162" s="55"/>
      <c r="AS162" s="55"/>
      <c r="AT162" s="55"/>
      <c r="AU162" s="55"/>
      <c r="AV162" s="55"/>
      <c r="AW162" s="56"/>
    </row>
    <row r="163" spans="1:49" s="55" customFormat="1" hidden="1" x14ac:dyDescent="0.25">
      <c r="A163" s="57"/>
      <c r="B163" s="57"/>
      <c r="C163" s="57" t="s">
        <v>94</v>
      </c>
      <c r="D163" s="57">
        <v>1</v>
      </c>
      <c r="E163" s="57"/>
      <c r="F163" s="57"/>
      <c r="G163" s="57">
        <v>2</v>
      </c>
      <c r="H163" s="57"/>
      <c r="I163" s="57"/>
      <c r="J163" s="57">
        <v>3</v>
      </c>
      <c r="K163" s="57"/>
      <c r="L163" s="57"/>
      <c r="M163" s="57">
        <v>4</v>
      </c>
      <c r="N163" s="57"/>
      <c r="O163" s="57"/>
      <c r="P163" s="57">
        <v>5</v>
      </c>
      <c r="Q163" s="57"/>
      <c r="R163" s="57"/>
      <c r="S163" s="57">
        <v>6</v>
      </c>
      <c r="T163" s="57"/>
      <c r="U163" s="57"/>
      <c r="V163" s="57">
        <v>7</v>
      </c>
      <c r="W163" s="57"/>
      <c r="X163" s="57"/>
      <c r="Y163" s="57">
        <v>8</v>
      </c>
      <c r="Z163" s="57"/>
      <c r="AA163" s="57"/>
      <c r="AB163" s="57">
        <v>9</v>
      </c>
      <c r="AC163" s="57"/>
      <c r="AD163" s="57"/>
      <c r="AE163" s="57">
        <v>10</v>
      </c>
      <c r="AF163" s="4"/>
      <c r="AG163" s="57"/>
      <c r="AI163" s="58"/>
      <c r="AJ163" s="4"/>
      <c r="AK163" s="4"/>
      <c r="AL163" s="4"/>
      <c r="AM163" s="4"/>
      <c r="AN163" s="4"/>
      <c r="AO163" s="4"/>
      <c r="AT163" s="58" t="s">
        <v>95</v>
      </c>
      <c r="AW163" s="59"/>
    </row>
    <row r="164" spans="1:49" s="55" customFormat="1" hidden="1" x14ac:dyDescent="0.25">
      <c r="A164" s="60">
        <v>1</v>
      </c>
      <c r="B164" s="60" t="str">
        <f>E93</f>
        <v>PSVC 11/12 Megan</v>
      </c>
      <c r="C164" s="60">
        <f>VLOOKUP(B164,AU$3:AW$33,3,FALSE)</f>
        <v>1389.1906269778058</v>
      </c>
      <c r="D164" s="60">
        <f>IF(B157,B172,IF(D157,D172,C164))</f>
        <v>1389.1906269778058</v>
      </c>
      <c r="E164" s="60"/>
      <c r="F164" s="60"/>
      <c r="G164" s="60">
        <f>IF(E157,E172,IF(G157,G172,D164))</f>
        <v>1397.2480244561157</v>
      </c>
      <c r="H164" s="60"/>
      <c r="I164" s="60"/>
      <c r="J164" s="60">
        <f>IF(H157,H172,IF(J157,J172,G164))</f>
        <v>1397.2480244561157</v>
      </c>
      <c r="K164" s="60"/>
      <c r="L164" s="60"/>
      <c r="M164" s="60">
        <f>IF(K157,K172,IF(M157,M172,J164))</f>
        <v>1371.2529442895006</v>
      </c>
      <c r="N164" s="60"/>
      <c r="O164" s="60"/>
      <c r="P164" s="60">
        <f>IF(N157,N172,IF(P157,P172,M164))</f>
        <v>1371.2529442895006</v>
      </c>
      <c r="Q164" s="60"/>
      <c r="R164" s="60"/>
      <c r="S164" s="60">
        <f>IF(Q157,Q172,IF(S157,S172,P164))</f>
        <v>1379.4866939693193</v>
      </c>
      <c r="T164" s="60"/>
      <c r="U164" s="60"/>
      <c r="V164" s="60">
        <f>IF(T157,T172,IF(V157,V172,S164))</f>
        <v>1379.4866939693193</v>
      </c>
      <c r="W164" s="60"/>
      <c r="X164" s="60"/>
      <c r="Y164" s="60">
        <f>IF(W157,W172,IF(Y157,Y172,V164))</f>
        <v>1379.4866939693193</v>
      </c>
      <c r="Z164" s="60"/>
      <c r="AA164" s="60"/>
      <c r="AB164" s="60">
        <f>IF(Z157,Z172,IF(AB157,AB172,Y164))</f>
        <v>1379.4866939693193</v>
      </c>
      <c r="AC164" s="60"/>
      <c r="AD164" s="60"/>
      <c r="AE164" s="60">
        <f>IF(AC157,AC172,IF(AE157,AE172,AB164))</f>
        <v>1379.4866939693193</v>
      </c>
      <c r="AF164" s="4"/>
      <c r="AG164" s="4"/>
      <c r="AJ164" s="4"/>
      <c r="AK164" s="4"/>
      <c r="AL164" s="4"/>
      <c r="AM164" s="4"/>
      <c r="AN164" s="4"/>
      <c r="AO164" s="4"/>
      <c r="AT164" s="55" t="str">
        <f>B164</f>
        <v>PSVC 11/12 Megan</v>
      </c>
      <c r="AU164" s="55">
        <f>AE164</f>
        <v>1379.4866939693193</v>
      </c>
      <c r="AW164" s="59"/>
    </row>
    <row r="165" spans="1:49" s="55" customFormat="1" hidden="1" x14ac:dyDescent="0.25">
      <c r="A165" s="60">
        <v>2</v>
      </c>
      <c r="B165" s="60" t="str">
        <f>E95</f>
        <v>SC Midlands KP Black</v>
      </c>
      <c r="C165" s="60">
        <f>VLOOKUP(B165,AU$3:AW$33,3,FALSE)</f>
        <v>1189.1105508037228</v>
      </c>
      <c r="D165" s="60">
        <f>IF(B158,B172,IF(D158,D172,C165))</f>
        <v>1203.646522960222</v>
      </c>
      <c r="E165" s="60"/>
      <c r="F165" s="60"/>
      <c r="G165" s="60">
        <f>IF(E158,E172,IF(G158,G172,D165))</f>
        <v>1203.646522960222</v>
      </c>
      <c r="H165" s="60"/>
      <c r="I165" s="60"/>
      <c r="J165" s="60">
        <f>IF(H158,H172,IF(J158,J172,G165))</f>
        <v>1187.1077412908835</v>
      </c>
      <c r="K165" s="60"/>
      <c r="L165" s="60"/>
      <c r="M165" s="60">
        <f>IF(K158,K172,IF(M158,M172,J165))</f>
        <v>1187.1077412908835</v>
      </c>
      <c r="N165" s="60"/>
      <c r="O165" s="60"/>
      <c r="P165" s="60">
        <f>IF(N158,N172,IF(P158,P172,M165))</f>
        <v>1187.1077412908835</v>
      </c>
      <c r="Q165" s="60"/>
      <c r="R165" s="60"/>
      <c r="S165" s="60">
        <f>IF(Q158,Q172,IF(S158,S172,P165))</f>
        <v>1178.8739916110649</v>
      </c>
      <c r="T165" s="60"/>
      <c r="U165" s="60"/>
      <c r="V165" s="60">
        <f>IF(T158,T172,IF(V158,V172,S165))</f>
        <v>1178.8739916110649</v>
      </c>
      <c r="W165" s="60"/>
      <c r="X165" s="60"/>
      <c r="Y165" s="60">
        <f>IF(W158,W172,IF(Y158,Y172,V165))</f>
        <v>1178.8739916110649</v>
      </c>
      <c r="Z165" s="60"/>
      <c r="AA165" s="60"/>
      <c r="AB165" s="60">
        <f>IF(Z158,Z172,IF(AB158,AB172,Y165))</f>
        <v>1178.8739916110649</v>
      </c>
      <c r="AC165" s="60"/>
      <c r="AD165" s="60"/>
      <c r="AE165" s="60">
        <f>IF(AC158,AC172,IF(AE158,AE172,AB165))</f>
        <v>1178.8739916110649</v>
      </c>
      <c r="AF165" s="4"/>
      <c r="AG165" s="4"/>
      <c r="AJ165" s="4"/>
      <c r="AL165" s="4"/>
      <c r="AM165" s="4"/>
      <c r="AN165" s="4"/>
      <c r="AO165" s="4"/>
      <c r="AT165" s="55" t="str">
        <f>B165</f>
        <v>SC Midlands KP Black</v>
      </c>
      <c r="AU165" s="55">
        <f>AE165</f>
        <v>1178.8739916110649</v>
      </c>
      <c r="AW165" s="59"/>
    </row>
    <row r="166" spans="1:49" s="55" customFormat="1" hidden="1" x14ac:dyDescent="0.25">
      <c r="A166" s="60">
        <v>3</v>
      </c>
      <c r="B166" s="60" t="str">
        <f>E97</f>
        <v>Foothills 12 Kim</v>
      </c>
      <c r="C166" s="60">
        <f>VLOOKUP(B166,AU$3:AW$33,3,FALSE)</f>
        <v>1157.2304177245248</v>
      </c>
      <c r="D166" s="60">
        <f>IF(B159,B172,IF(D159,D172,C166))</f>
        <v>1142.6944455680257</v>
      </c>
      <c r="E166" s="60"/>
      <c r="F166" s="60"/>
      <c r="G166" s="60">
        <f>IF(E159,E172,IF(G159,G172,D166))</f>
        <v>1142.6944455680257</v>
      </c>
      <c r="H166" s="60"/>
      <c r="I166" s="60"/>
      <c r="J166" s="60">
        <f>IF(H159,H172,IF(J159,J172,G166))</f>
        <v>1142.6944455680257</v>
      </c>
      <c r="K166" s="60"/>
      <c r="L166" s="60"/>
      <c r="M166" s="60">
        <f>IF(K159,K172,IF(M159,M172,J166))</f>
        <v>1168.6895257346407</v>
      </c>
      <c r="N166" s="60"/>
      <c r="O166" s="60"/>
      <c r="P166" s="60">
        <f>IF(N159,N172,IF(P159,P172,M166))</f>
        <v>1186.5140380302898</v>
      </c>
      <c r="Q166" s="60"/>
      <c r="R166" s="60"/>
      <c r="S166" s="60">
        <f>IF(Q159,Q172,IF(S159,S172,P166))</f>
        <v>1186.5140380302898</v>
      </c>
      <c r="T166" s="60"/>
      <c r="U166" s="60"/>
      <c r="V166" s="60">
        <f>IF(T159,T172,IF(V159,V172,S166))</f>
        <v>1186.5140380302898</v>
      </c>
      <c r="W166" s="60"/>
      <c r="X166" s="60"/>
      <c r="Y166" s="60">
        <f>IF(W159,W172,IF(Y159,Y172,V166))</f>
        <v>1186.5140380302898</v>
      </c>
      <c r="Z166" s="60"/>
      <c r="AA166" s="60"/>
      <c r="AB166" s="60">
        <f>IF(Z159,Z172,IF(AB159,AB172,Y166))</f>
        <v>1186.5140380302898</v>
      </c>
      <c r="AC166" s="60"/>
      <c r="AD166" s="60"/>
      <c r="AE166" s="60">
        <f>IF(AC159,AC172,IF(AE159,AE172,AB166))</f>
        <v>1186.5140380302898</v>
      </c>
      <c r="AF166" s="4"/>
      <c r="AG166" s="4"/>
      <c r="AJ166" s="4"/>
      <c r="AL166" s="4"/>
      <c r="AM166" s="4"/>
      <c r="AN166" s="4"/>
      <c r="AO166" s="4"/>
      <c r="AT166" s="55" t="str">
        <f>B166</f>
        <v>Foothills 12 Kim</v>
      </c>
      <c r="AU166" s="55">
        <f>AE166</f>
        <v>1186.5140380302898</v>
      </c>
      <c r="AW166" s="59"/>
    </row>
    <row r="167" spans="1:49" s="55" customFormat="1" hidden="1" x14ac:dyDescent="0.25">
      <c r="A167" s="60">
        <v>4</v>
      </c>
      <c r="B167" s="60" t="str">
        <f>E99</f>
        <v>USA 12's Pink</v>
      </c>
      <c r="C167" s="60">
        <f>VLOOKUP(B167,AU$3:AW$33,3,FALSE)</f>
        <v>1200</v>
      </c>
      <c r="D167" s="60">
        <f>IF(B160,B172,IF(D160,D172,C167))</f>
        <v>1200</v>
      </c>
      <c r="E167" s="60"/>
      <c r="F167" s="60"/>
      <c r="G167" s="60">
        <f>IF(E160,E172,IF(G160,G172,D167))</f>
        <v>1191.9426025216901</v>
      </c>
      <c r="H167" s="60"/>
      <c r="I167" s="60"/>
      <c r="J167" s="60">
        <f>IF(H160,H172,IF(J160,J172,G167))</f>
        <v>1208.4813841910286</v>
      </c>
      <c r="K167" s="60"/>
      <c r="L167" s="60"/>
      <c r="M167" s="60">
        <f>IF(K160,K172,IF(M160,M172,J167))</f>
        <v>1208.4813841910286</v>
      </c>
      <c r="N167" s="60"/>
      <c r="O167" s="60"/>
      <c r="P167" s="60">
        <f>IF(N160,N172,IF(P160,P172,M167))</f>
        <v>1190.6568718953795</v>
      </c>
      <c r="Q167" s="60"/>
      <c r="R167" s="60"/>
      <c r="S167" s="60">
        <f>IF(Q160,Q172,IF(S160,S172,P167))</f>
        <v>1190.6568718953795</v>
      </c>
      <c r="T167" s="60"/>
      <c r="U167" s="60"/>
      <c r="V167" s="60">
        <f>IF(T160,T172,IF(V160,V172,S167))</f>
        <v>1190.6568718953795</v>
      </c>
      <c r="W167" s="60"/>
      <c r="X167" s="60"/>
      <c r="Y167" s="60">
        <f>IF(W160,W172,IF(Y160,Y172,V167))</f>
        <v>1190.6568718953795</v>
      </c>
      <c r="Z167" s="60"/>
      <c r="AA167" s="60"/>
      <c r="AB167" s="60">
        <f>IF(Z160,Z172,IF(AB160,AB172,Y167))</f>
        <v>1190.6568718953795</v>
      </c>
      <c r="AC167" s="60"/>
      <c r="AD167" s="60"/>
      <c r="AE167" s="60">
        <f>IF(AC160,AC172,IF(AE160,AE172,AB167))</f>
        <v>1190.6568718953795</v>
      </c>
      <c r="AF167" s="4"/>
      <c r="AG167" s="4"/>
      <c r="AJ167" s="4"/>
      <c r="AL167" s="4"/>
      <c r="AM167" s="4"/>
      <c r="AN167" s="4"/>
      <c r="AO167" s="4"/>
      <c r="AT167" s="55" t="str">
        <f>B167</f>
        <v>USA 12's Pink</v>
      </c>
      <c r="AU167" s="55">
        <f>AE167</f>
        <v>1190.6568718953795</v>
      </c>
      <c r="AW167" s="59"/>
    </row>
    <row r="168" spans="1:49" s="55" customFormat="1" hidden="1" x14ac:dyDescent="0.25">
      <c r="A168" s="60">
        <v>5</v>
      </c>
      <c r="B168" s="60">
        <f>E101</f>
        <v>0</v>
      </c>
      <c r="C168" s="60" t="e">
        <f>VLOOKUP(B168,AU$3:AW$33,3,FALSE)</f>
        <v>#N/A</v>
      </c>
      <c r="D168" s="60" t="e">
        <f>IF(B161,B172,IF(D161,D172,C168))</f>
        <v>#N/A</v>
      </c>
      <c r="E168" s="60"/>
      <c r="F168" s="60"/>
      <c r="G168" s="60" t="e">
        <f>IF(E161,E172,IF(G161,G172,D168))</f>
        <v>#N/A</v>
      </c>
      <c r="H168" s="60"/>
      <c r="I168" s="60"/>
      <c r="J168" s="60" t="e">
        <f>IF(H161,H172,IF(J161,J172,G168))</f>
        <v>#N/A</v>
      </c>
      <c r="K168" s="60"/>
      <c r="L168" s="60"/>
      <c r="M168" s="60" t="e">
        <f>IF(K161,K172,IF(M161,M172,J168))</f>
        <v>#N/A</v>
      </c>
      <c r="N168" s="60"/>
      <c r="O168" s="60"/>
      <c r="P168" s="60" t="e">
        <f>IF(N161,N172,IF(P161,P172,M168))</f>
        <v>#N/A</v>
      </c>
      <c r="Q168" s="60"/>
      <c r="R168" s="60"/>
      <c r="S168" s="60" t="e">
        <f>IF(Q161,Q172,IF(S161,S172,P168))</f>
        <v>#N/A</v>
      </c>
      <c r="T168" s="60"/>
      <c r="U168" s="60"/>
      <c r="V168" s="60" t="e">
        <f>IF(T161,T172,IF(V161,V172,S168))</f>
        <v>#N/A</v>
      </c>
      <c r="W168" s="60"/>
      <c r="X168" s="60"/>
      <c r="Y168" s="60" t="e">
        <f>IF(W161,W172,IF(Y161,Y172,V168))</f>
        <v>#N/A</v>
      </c>
      <c r="Z168" s="60"/>
      <c r="AA168" s="60"/>
      <c r="AB168" s="60" t="e">
        <f>IF(Z161,Z172,IF(AB161,AB172,Y168))</f>
        <v>#N/A</v>
      </c>
      <c r="AC168" s="60"/>
      <c r="AD168" s="60"/>
      <c r="AE168" s="60" t="e">
        <f>IF(AC161,AC172,IF(AE161,AE172,AB168))</f>
        <v>#N/A</v>
      </c>
      <c r="AF168" s="4"/>
      <c r="AG168" s="4"/>
      <c r="AJ168" s="4"/>
      <c r="AL168" s="4"/>
      <c r="AM168" s="4"/>
      <c r="AN168" s="4"/>
      <c r="AO168" s="4"/>
      <c r="AT168" s="55">
        <f>B168</f>
        <v>0</v>
      </c>
      <c r="AU168" s="55" t="e">
        <f>AE168</f>
        <v>#N/A</v>
      </c>
      <c r="AW168" s="59"/>
    </row>
    <row r="169" spans="1:49" s="55" customFormat="1" hidden="1" x14ac:dyDescent="0.25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4"/>
      <c r="AG169" s="4"/>
      <c r="AJ169" s="4"/>
      <c r="AL169" s="4"/>
      <c r="AM169" s="4"/>
      <c r="AN169" s="4"/>
      <c r="AO169" s="4"/>
      <c r="AW169" s="59"/>
    </row>
    <row r="170" spans="1:49" s="55" customFormat="1" hidden="1" x14ac:dyDescent="0.25">
      <c r="A170" s="60" t="s">
        <v>96</v>
      </c>
      <c r="B170" s="60">
        <f>VLOOKUP(B109,$A164:$AE168,3,FALSE)</f>
        <v>1189.1105508037228</v>
      </c>
      <c r="C170" s="60">
        <v>1</v>
      </c>
      <c r="D170" s="60">
        <f>VLOOKUP(D109,$A164:$AE168,3,FALSE)</f>
        <v>1157.2304177245248</v>
      </c>
      <c r="E170" s="60">
        <f>VLOOKUP(E109,$A164:$AE168,4,FALSE)</f>
        <v>1389.1906269778058</v>
      </c>
      <c r="F170" s="60">
        <v>2</v>
      </c>
      <c r="G170" s="60">
        <f>VLOOKUP(G109,$A164:$AE168,4,FALSE)</f>
        <v>1200</v>
      </c>
      <c r="H170" s="60">
        <f>VLOOKUP(H109,$A164:$AE168,7,FALSE)</f>
        <v>1203.646522960222</v>
      </c>
      <c r="I170" s="60">
        <v>3</v>
      </c>
      <c r="J170" s="60">
        <f>VLOOKUP(J109,$A164:$AE168,7,FALSE)</f>
        <v>1191.9426025216901</v>
      </c>
      <c r="K170" s="60">
        <f>VLOOKUP(K109,$A164:$AE168,10,FALSE)</f>
        <v>1397.2480244561157</v>
      </c>
      <c r="L170" s="60">
        <v>4</v>
      </c>
      <c r="M170" s="60">
        <f>VLOOKUP(M109,$A164:$AE168,10,FALSE)</f>
        <v>1142.6944455680257</v>
      </c>
      <c r="N170" s="60">
        <f>VLOOKUP(N109,$A164:$AE168,13,FALSE)</f>
        <v>1168.6895257346407</v>
      </c>
      <c r="O170" s="60">
        <v>5</v>
      </c>
      <c r="P170" s="60">
        <f>VLOOKUP(P109,$A164:$AE168,13,FALSE)</f>
        <v>1208.4813841910286</v>
      </c>
      <c r="Q170" s="60">
        <f>VLOOKUP(Q109,$A164:$AE168,16,FALSE)</f>
        <v>1371.2529442895006</v>
      </c>
      <c r="R170" s="60">
        <v>6</v>
      </c>
      <c r="S170" s="60">
        <f>VLOOKUP(S109,$A164:$AE168,16,FALSE)</f>
        <v>1187.1077412908835</v>
      </c>
      <c r="T170" s="60" t="e">
        <f>VLOOKUP(T109,$A164:$AE168,19,FALSE)</f>
        <v>#N/A</v>
      </c>
      <c r="U170" s="60">
        <v>7</v>
      </c>
      <c r="V170" s="60" t="e">
        <f>VLOOKUP(V109,$A164:$AE168,19,FALSE)</f>
        <v>#N/A</v>
      </c>
      <c r="W170" s="60" t="e">
        <f>VLOOKUP(W109,$A164:$AE168,22,FALSE)</f>
        <v>#N/A</v>
      </c>
      <c r="X170" s="60">
        <v>8</v>
      </c>
      <c r="Y170" s="60" t="e">
        <f>VLOOKUP(Y109,$A164:$AE168,22,FALSE)</f>
        <v>#N/A</v>
      </c>
      <c r="Z170" s="60" t="e">
        <f>VLOOKUP(Z109,$A164:$AE168,25,FALSE)</f>
        <v>#N/A</v>
      </c>
      <c r="AA170" s="60">
        <v>9</v>
      </c>
      <c r="AB170" s="60" t="e">
        <f>VLOOKUP(AB109,$A164:$AE168,25,FALSE)</f>
        <v>#N/A</v>
      </c>
      <c r="AC170" s="60" t="e">
        <f>VLOOKUP(AC109,$A164:$AE168,28,FALSE)</f>
        <v>#N/A</v>
      </c>
      <c r="AD170" s="60">
        <v>10</v>
      </c>
      <c r="AE170" s="60" t="e">
        <f>VLOOKUP(AE109,$A164:$AE168,28,FALSE)</f>
        <v>#N/A</v>
      </c>
      <c r="AF170" s="4"/>
      <c r="AG170" s="53"/>
      <c r="AH170" s="53"/>
      <c r="AI170" s="53"/>
      <c r="AJ170" s="53"/>
      <c r="AK170" s="53"/>
      <c r="AL170" s="53"/>
      <c r="AM170" s="53"/>
      <c r="AN170" s="54"/>
      <c r="AO170" s="54"/>
      <c r="AP170" s="54"/>
      <c r="AQ170" s="54"/>
      <c r="AW170" s="59"/>
    </row>
    <row r="171" spans="1:49" s="65" customFormat="1" hidden="1" x14ac:dyDescent="0.25">
      <c r="A171" s="61" t="s">
        <v>97</v>
      </c>
      <c r="B171" s="61">
        <f>1/(1+(10^-((B170-D170)/400)))*(B121+D121)</f>
        <v>0.54575087010940482</v>
      </c>
      <c r="C171" s="61"/>
      <c r="D171" s="61">
        <f>1/(1+(10^-((D170-B170)/400)))*(B121+D121)</f>
        <v>0.45424912989059513</v>
      </c>
      <c r="E171" s="61">
        <f>1/(1+(10^-((E170-G170)/400)))*(E121+G121)</f>
        <v>0.74820632880281401</v>
      </c>
      <c r="F171" s="61"/>
      <c r="G171" s="61">
        <f>1/(1+(10^-((G170-E170)/400)))*(E121+G121)</f>
        <v>0.25179367119718604</v>
      </c>
      <c r="H171" s="61">
        <f>1/(1+(10^-((H170-J170)/400)))*(H121+J121)</f>
        <v>0.51683692716682539</v>
      </c>
      <c r="I171" s="61"/>
      <c r="J171" s="61">
        <f>1/(1+(10^-((J170-H170)/400)))*(H121+J121)</f>
        <v>0.48316307283317467</v>
      </c>
      <c r="K171" s="61">
        <f>1/(1+(10^-((K170-M170)/400)))*(K121+M121)</f>
        <v>0.81234625520671622</v>
      </c>
      <c r="L171" s="61"/>
      <c r="M171" s="61">
        <f>1/(1+(10^-((M170-K170)/400)))*(K121+M121)</f>
        <v>0.18765374479328373</v>
      </c>
      <c r="N171" s="61">
        <f>1/(1+(10^-((N170-P170)/400)))*(N121+P121)</f>
        <v>0.44298399076096717</v>
      </c>
      <c r="O171" s="61"/>
      <c r="P171" s="61">
        <f>1/(1+(10^-((P170-N170)/400)))*(N121+P121)</f>
        <v>0.55701600923903272</v>
      </c>
      <c r="Q171" s="61">
        <f>1/(1+(10^-((Q170-S170)/400)))*(Q121+S121)</f>
        <v>0.74269532250566617</v>
      </c>
      <c r="R171" s="61"/>
      <c r="S171" s="61">
        <f>1/(1+(10^-((S170-Q170)/400)))*(Q121+S121)</f>
        <v>0.25730467749433383</v>
      </c>
      <c r="T171" s="61" t="e">
        <f>1/(1+(10^-((T170-V170)/400)))*(T121+V121)</f>
        <v>#N/A</v>
      </c>
      <c r="U171" s="61"/>
      <c r="V171" s="61" t="e">
        <f>1/(1+(10^-((V170-T170)/400)))*(T121+V121)</f>
        <v>#N/A</v>
      </c>
      <c r="W171" s="61" t="e">
        <f>1/(1+(10^-((W170-Y170)/400)))*(W121+Y121)</f>
        <v>#N/A</v>
      </c>
      <c r="X171" s="61"/>
      <c r="Y171" s="61" t="e">
        <f>1/(1+(10^-((Y170-W170)/400)))*(W121+Y121)</f>
        <v>#N/A</v>
      </c>
      <c r="Z171" s="61" t="e">
        <f>1/(1+(10^-((Z170-AB170)/400)))*(Z121+AB121)</f>
        <v>#N/A</v>
      </c>
      <c r="AA171" s="61"/>
      <c r="AB171" s="61" t="e">
        <f>1/(1+(10^-((AB170-Z170)/400)))*(Z121+AB121)</f>
        <v>#N/A</v>
      </c>
      <c r="AC171" s="61" t="e">
        <f>1/(1+(10^-((AC170-AE170)/400)))*(AC121+AE121)</f>
        <v>#N/A</v>
      </c>
      <c r="AD171" s="61"/>
      <c r="AE171" s="61" t="e">
        <f>1/(1+(10^-((AE170-AC170)/400)))*(AC121+AE121)</f>
        <v>#N/A</v>
      </c>
      <c r="AF171" s="62"/>
      <c r="AG171" s="63"/>
      <c r="AH171" s="63"/>
      <c r="AI171" s="63"/>
      <c r="AJ171" s="63"/>
      <c r="AK171" s="63"/>
      <c r="AL171" s="63"/>
      <c r="AM171" s="63"/>
      <c r="AN171" s="64"/>
      <c r="AO171" s="64"/>
      <c r="AP171" s="64"/>
      <c r="AQ171" s="64"/>
      <c r="AW171" s="66"/>
    </row>
    <row r="172" spans="1:49" s="71" customFormat="1" hidden="1" x14ac:dyDescent="0.25">
      <c r="A172" s="67" t="s">
        <v>98</v>
      </c>
      <c r="B172" s="67">
        <f>B170+(B121-B171)*$BA$1</f>
        <v>1203.646522960222</v>
      </c>
      <c r="C172" s="67"/>
      <c r="D172" s="67">
        <f>D170+(D121-D171)*$BA$1</f>
        <v>1142.6944455680257</v>
      </c>
      <c r="E172" s="67">
        <f>E170+(E121-E171)*$BA$1</f>
        <v>1397.2480244561157</v>
      </c>
      <c r="F172" s="67"/>
      <c r="G172" s="67">
        <f>G170+(G121-G171)*$BA$1</f>
        <v>1191.9426025216901</v>
      </c>
      <c r="H172" s="67">
        <f>H170+(H121-H171)*$BA$1</f>
        <v>1187.1077412908835</v>
      </c>
      <c r="I172" s="67"/>
      <c r="J172" s="67">
        <f>J170+(J121-J171)*$BA$1</f>
        <v>1208.4813841910286</v>
      </c>
      <c r="K172" s="67">
        <f>K170+(K121-K171)*$BA$1</f>
        <v>1371.2529442895006</v>
      </c>
      <c r="L172" s="67"/>
      <c r="M172" s="67">
        <f>M170+(M121-M171)*$BA$1</f>
        <v>1168.6895257346407</v>
      </c>
      <c r="N172" s="67">
        <f>N170+(N121-N171)*$BA$1</f>
        <v>1186.5140380302898</v>
      </c>
      <c r="O172" s="67"/>
      <c r="P172" s="67">
        <f>P170+(P121-P171)*$BA$1</f>
        <v>1190.6568718953795</v>
      </c>
      <c r="Q172" s="67">
        <f>Q170+(Q121-Q171)*$BA$1</f>
        <v>1379.4866939693193</v>
      </c>
      <c r="R172" s="67"/>
      <c r="S172" s="67">
        <f>S170+(S121-S171)*$BA$1</f>
        <v>1178.8739916110649</v>
      </c>
      <c r="T172" s="67" t="e">
        <f>T170+(T121-T171)*$BA$1</f>
        <v>#N/A</v>
      </c>
      <c r="U172" s="67"/>
      <c r="V172" s="67" t="e">
        <f>V170+(V121-V171)*$BA$1</f>
        <v>#N/A</v>
      </c>
      <c r="W172" s="67" t="e">
        <f>W170+(W121-W171)*$BA$1</f>
        <v>#N/A</v>
      </c>
      <c r="X172" s="67"/>
      <c r="Y172" s="67" t="e">
        <f>Y170+(Y121-Y171)*$BA$1</f>
        <v>#N/A</v>
      </c>
      <c r="Z172" s="67" t="e">
        <f>Z170+(Z121-Z171)*$BA$1</f>
        <v>#N/A</v>
      </c>
      <c r="AA172" s="67"/>
      <c r="AB172" s="67" t="e">
        <f>AB170+(AB121-AB171)*$BA$1</f>
        <v>#N/A</v>
      </c>
      <c r="AC172" s="67" t="e">
        <f>AC170+(AC121-AC171)*$BA$1</f>
        <v>#N/A</v>
      </c>
      <c r="AD172" s="67"/>
      <c r="AE172" s="67" t="e">
        <f>AE170+(AE121-AE171)*$BA$1</f>
        <v>#N/A</v>
      </c>
      <c r="AF172" s="68"/>
      <c r="AG172" s="69"/>
      <c r="AH172" s="69"/>
      <c r="AI172" s="69"/>
      <c r="AJ172" s="69"/>
      <c r="AK172" s="69"/>
      <c r="AL172" s="69"/>
      <c r="AM172" s="69"/>
      <c r="AN172" s="70"/>
      <c r="AO172" s="70"/>
      <c r="AP172" s="70"/>
      <c r="AQ172" s="70"/>
      <c r="AW172" s="72"/>
    </row>
    <row r="173" spans="1:49" s="71" customFormat="1" hidden="1" x14ac:dyDescent="0.25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8"/>
      <c r="AG173" s="69"/>
      <c r="AH173" s="69"/>
      <c r="AI173" s="69"/>
      <c r="AJ173" s="69"/>
      <c r="AK173" s="69"/>
      <c r="AL173" s="69"/>
      <c r="AM173" s="69"/>
      <c r="AN173" s="70"/>
      <c r="AO173" s="70"/>
      <c r="AP173" s="70"/>
      <c r="AQ173" s="70"/>
      <c r="AW173" s="72"/>
    </row>
    <row r="174" spans="1:49" s="55" customFormat="1" x14ac:dyDescent="0.25">
      <c r="A174" s="151" t="str">
        <f>IF($AK95=1,"Pool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Pool Tiereaker : 1) Matches Won vs Lost (if 3 way tie then #4)  2) Head to Head  3) Game Win %  4) Total Pool Net Points  5) Flip a Coin</v>
      </c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2"/>
      <c r="AO174" s="152"/>
      <c r="AP174" s="152"/>
      <c r="AQ174" s="152"/>
    </row>
    <row r="175" spans="1:49" ht="21" thickBot="1" x14ac:dyDescent="0.4">
      <c r="A175" s="141" t="s">
        <v>124</v>
      </c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D175" s="141"/>
      <c r="AE175" s="141"/>
      <c r="AF175" s="141"/>
      <c r="AG175" s="141"/>
      <c r="AH175" s="141"/>
      <c r="AI175" s="141"/>
      <c r="AJ175" s="141"/>
      <c r="AK175" s="141"/>
      <c r="AL175" s="141"/>
      <c r="AM175" s="141"/>
      <c r="AN175" s="141"/>
      <c r="AO175" s="141"/>
      <c r="AP175" s="141"/>
      <c r="AQ175" s="141"/>
    </row>
    <row r="176" spans="1:49" ht="13.8" thickBot="1" x14ac:dyDescent="0.3">
      <c r="A176" s="142" t="s">
        <v>125</v>
      </c>
      <c r="B176" s="144" t="s">
        <v>126</v>
      </c>
      <c r="C176" s="145"/>
      <c r="D176" s="145"/>
      <c r="E176" s="145"/>
      <c r="F176" s="145"/>
      <c r="G176" s="145"/>
      <c r="H176" s="145"/>
      <c r="I176" s="145"/>
      <c r="J176" s="145"/>
      <c r="K176" s="146"/>
      <c r="L176" s="144" t="s">
        <v>127</v>
      </c>
      <c r="M176" s="145"/>
      <c r="N176" s="145"/>
      <c r="O176" s="145"/>
      <c r="P176" s="145"/>
      <c r="Q176" s="145"/>
      <c r="R176" s="145"/>
      <c r="S176" s="145"/>
      <c r="T176" s="145"/>
      <c r="U176" s="146"/>
      <c r="V176" s="144" t="s">
        <v>128</v>
      </c>
      <c r="W176" s="145"/>
      <c r="X176" s="145"/>
      <c r="Y176" s="145"/>
      <c r="Z176" s="145"/>
      <c r="AA176" s="145"/>
      <c r="AB176" s="145"/>
      <c r="AC176" s="145"/>
      <c r="AD176" s="145"/>
      <c r="AE176" s="146"/>
      <c r="AF176" s="126" t="s">
        <v>129</v>
      </c>
      <c r="AG176" s="127"/>
      <c r="AH176" s="127"/>
      <c r="AI176" s="127"/>
      <c r="AJ176" s="127"/>
      <c r="AK176" s="127"/>
      <c r="AL176" s="127"/>
      <c r="AM176" s="127"/>
      <c r="AN176" s="127"/>
      <c r="AO176" s="128"/>
    </row>
    <row r="177" spans="1:41" ht="13.8" thickBot="1" x14ac:dyDescent="0.3">
      <c r="A177" s="143"/>
      <c r="B177" s="123" t="s">
        <v>8</v>
      </c>
      <c r="C177" s="124"/>
      <c r="D177" s="124"/>
      <c r="E177" s="124"/>
      <c r="F177" s="124"/>
      <c r="G177" s="125"/>
      <c r="H177" s="123" t="s">
        <v>130</v>
      </c>
      <c r="I177" s="124"/>
      <c r="J177" s="124"/>
      <c r="K177" s="125"/>
      <c r="L177" s="123" t="s">
        <v>8</v>
      </c>
      <c r="M177" s="124"/>
      <c r="N177" s="124"/>
      <c r="O177" s="124"/>
      <c r="P177" s="124"/>
      <c r="Q177" s="125"/>
      <c r="R177" s="123" t="s">
        <v>130</v>
      </c>
      <c r="S177" s="124"/>
      <c r="T177" s="124"/>
      <c r="U177" s="125"/>
      <c r="V177" s="123" t="s">
        <v>8</v>
      </c>
      <c r="W177" s="124"/>
      <c r="X177" s="124"/>
      <c r="Y177" s="124"/>
      <c r="Z177" s="124"/>
      <c r="AA177" s="125"/>
      <c r="AB177" s="123" t="s">
        <v>130</v>
      </c>
      <c r="AC177" s="124"/>
      <c r="AD177" s="124"/>
      <c r="AE177" s="125"/>
      <c r="AF177" s="126" t="s">
        <v>8</v>
      </c>
      <c r="AG177" s="127"/>
      <c r="AH177" s="127"/>
      <c r="AI177" s="127"/>
      <c r="AJ177" s="127"/>
      <c r="AK177" s="128"/>
      <c r="AL177" s="126" t="s">
        <v>130</v>
      </c>
      <c r="AM177" s="127"/>
      <c r="AN177" s="127"/>
      <c r="AO177" s="128"/>
    </row>
    <row r="178" spans="1:41" x14ac:dyDescent="0.25">
      <c r="A178" s="83" t="s">
        <v>131</v>
      </c>
      <c r="B178" s="129" t="str">
        <f>IF($AF$8=1,$E$8,IF($AF$10=1,$E$10,IF($AF$12=1,$E$12,IF($AF$14=1,$E$14,IF($AF$16=1,$E$16,"1st Place "&amp;$A178)))))</f>
        <v>Excell Palmetto State 12</v>
      </c>
      <c r="C178" s="130"/>
      <c r="D178" s="130"/>
      <c r="E178" s="130"/>
      <c r="F178" s="130"/>
      <c r="G178" s="130"/>
      <c r="H178" s="131" t="str">
        <f>IF($AF$8=1,$E$9,IF($AF$10=1,$E$11,IF($AF$12=1,$E$13,IF($AF$14=1,$E$15,IF($AF$16=1,$E$17,"1st Place "&amp;$A178)))))</f>
        <v>FJ2EXCEL3PM</v>
      </c>
      <c r="I178" s="131"/>
      <c r="J178" s="131"/>
      <c r="K178" s="132"/>
      <c r="L178" s="133" t="str">
        <f>IF($AF$8=2,$E$8,IF($AF$10=2,$E$10,IF($AF$12=2,$E$12,IF($AF$14=2,$E$14,IF($AF$16=2,$E$16,"2nd Place "&amp;$A178)))))</f>
        <v>Crossfire 12 Jrs</v>
      </c>
      <c r="M178" s="134"/>
      <c r="N178" s="134"/>
      <c r="O178" s="134"/>
      <c r="P178" s="134"/>
      <c r="Q178" s="134"/>
      <c r="R178" s="135" t="str">
        <f>IF($AF$8=2,$E$9,IF($AF$10=2,$E$11,IF($AF$12=2,$E$13,IF($AF$14=2,$E$15,IF($AF$16=2,$E$17,"2nd Place "&amp;$A178)))))</f>
        <v>FJ2CROSF3PM</v>
      </c>
      <c r="S178" s="135"/>
      <c r="T178" s="135"/>
      <c r="U178" s="136"/>
      <c r="V178" s="137" t="str">
        <f>IF($AF$8=3,$E$8,IF($AF$10=3,$E$10,IF($AF$12=3,$E$12,IF($AF$14=3,$E$14,IF($AF$16=3,$E$16,"3rd Place "&amp;$A178)))))</f>
        <v>SCWE12FLYERS</v>
      </c>
      <c r="W178" s="138"/>
      <c r="X178" s="138"/>
      <c r="Y178" s="138"/>
      <c r="Z178" s="138"/>
      <c r="AA178" s="138"/>
      <c r="AB178" s="139" t="str">
        <f>IF($AF$8=3,$E$9,IF($AF$10=3,$E$11,IF($AF$12=3,$E$13,IF($AF$14=3,$E$15,IF($AF$16=3,$E$17,"3rd Place "&amp;$A178)))))</f>
        <v>FJ2SCWEA1PM</v>
      </c>
      <c r="AC178" s="139"/>
      <c r="AD178" s="139"/>
      <c r="AE178" s="140"/>
      <c r="AF178" s="103" t="str">
        <f>IF($AF$8=4,$E$8,IF($AF$10=4,$E$10,IF($AF$12=4,$E$12,IF($AF$14=4,$E$14,IF($AF$16=4,$E$16,"4th Place "&amp;$A178)))))</f>
        <v>Kershaw Dev 12 Black</v>
      </c>
      <c r="AG178" s="104"/>
      <c r="AH178" s="104"/>
      <c r="AI178" s="104"/>
      <c r="AJ178" s="104"/>
      <c r="AK178" s="104"/>
      <c r="AL178" s="105" t="str">
        <f>IF($AF$8=4,$E$9,IF($AF$10=4,$E$11,IF($AF$12=4,$E$13,IF($AF$14=4,$E$15,IF($AF$16=4,$E$17,"4th Place "&amp;$A178)))))</f>
        <v>FJ2KERSH3PM</v>
      </c>
      <c r="AM178" s="105"/>
      <c r="AN178" s="105"/>
      <c r="AO178" s="106"/>
    </row>
    <row r="179" spans="1:41" x14ac:dyDescent="0.25">
      <c r="A179" s="83" t="s">
        <v>132</v>
      </c>
      <c r="B179" s="107" t="str">
        <f>IF($AF$93=1,$E$93,IF($AF$95=1,$E$95,IF($AF$97=1,$E$97,IF($AF$99=1,$E$99,IF($AF$101=1,$E$101,"1st Place "&amp;$A179)))))</f>
        <v>PSVC 11/12 Megan</v>
      </c>
      <c r="C179" s="108"/>
      <c r="D179" s="108"/>
      <c r="E179" s="108"/>
      <c r="F179" s="108"/>
      <c r="G179" s="108"/>
      <c r="H179" s="109" t="str">
        <f>IF($AF$93=1,$E$94,IF($AF$95=1,$E$96,IF($AF$97=1,$E$98,IF($AF$99=1,$E$100,IF($AF$101=1,$E$102,"1st Place "&amp;$A179)))))</f>
        <v>FJ2PSTRI4PM</v>
      </c>
      <c r="I179" s="109"/>
      <c r="J179" s="109"/>
      <c r="K179" s="110"/>
      <c r="L179" s="111" t="str">
        <f>IF($AF$93=2,$E$93,IF($AF$95=2,$E$95,IF($AF$97=2,$E$97,IF($AF$99=2,$E$99,IF($AF$101=2,$E$101,"2nd Place "&amp;$A179)))))</f>
        <v>Foothills 12 Kim</v>
      </c>
      <c r="M179" s="112"/>
      <c r="N179" s="112"/>
      <c r="O179" s="112"/>
      <c r="P179" s="112"/>
      <c r="Q179" s="112"/>
      <c r="R179" s="113" t="str">
        <f>IF($AF$93=2,$E$94,IF($AF$95=2,$E$96,IF($AF$97=2,$E$98,IF($AF$99=2,$E$100,IF($AF$101=2,$E$102,"2nd Place "&amp;$A179)))))</f>
        <v>FJ2FOOTH3PM</v>
      </c>
      <c r="S179" s="113"/>
      <c r="T179" s="113"/>
      <c r="U179" s="114"/>
      <c r="V179" s="115" t="str">
        <f>IF($AF$93=3,$E$93,IF($AF$95=3,$E$95,IF($AF$97=3,$E$97,IF($AF$99=3,$E$99,IF($AF$101=3,$E$101,"3rd Place "&amp;$A179)))))</f>
        <v>SC Midlands KP Black</v>
      </c>
      <c r="W179" s="116"/>
      <c r="X179" s="116"/>
      <c r="Y179" s="116"/>
      <c r="Z179" s="116"/>
      <c r="AA179" s="116"/>
      <c r="AB179" s="117" t="str">
        <f>IF($AF$93=3,$E$94,IF($AF$95=3,$E$96,IF($AF$97=3,$E$98,IF($AF$99=3,$E$100,IF($AF$101=3,$E$102,"3rd Place "&amp;$A179)))))</f>
        <v>FJ2SCMID2PM</v>
      </c>
      <c r="AC179" s="117"/>
      <c r="AD179" s="117"/>
      <c r="AE179" s="118"/>
      <c r="AF179" s="119" t="str">
        <f>IF($AF$93=4,$E$93,IF($AF$95=4,$E$95,IF($AF$97=4,$E$97,IF($AF$99=4,$E$99,IF($AF$101=4,$E$101,"4th Place "&amp;$A179)))))</f>
        <v>4th Place Court 2</v>
      </c>
      <c r="AG179" s="120"/>
      <c r="AH179" s="120"/>
      <c r="AI179" s="120"/>
      <c r="AJ179" s="120"/>
      <c r="AK179" s="120"/>
      <c r="AL179" s="121" t="str">
        <f>IF($AF$93=4,$E$94,IF($AF$95=4,$E$96,IF($AF$97=4,$E$98,IF($AF$99=4,$E$100,IF($AF$101=4,$E$102,"4th Place "&amp;$A179)))))</f>
        <v>4th Place Court 2</v>
      </c>
      <c r="AM179" s="121"/>
      <c r="AN179" s="121"/>
      <c r="AO179" s="122"/>
    </row>
    <row r="180" spans="1:41" ht="13.8" thickBot="1" x14ac:dyDescent="0.3">
      <c r="A180" s="84" t="s">
        <v>133</v>
      </c>
      <c r="B180" s="91" t="e">
        <f>IF(#REF!=1,#REF!,IF(#REF!=1,#REF!,IF(#REF!=1,#REF!,IF(#REF!=1,#REF!,IF(#REF!=1,#REF!,"1st Place "&amp;$A180)))))</f>
        <v>#REF!</v>
      </c>
      <c r="C180" s="92"/>
      <c r="D180" s="92"/>
      <c r="E180" s="92"/>
      <c r="F180" s="92"/>
      <c r="G180" s="92"/>
      <c r="H180" s="93" t="e">
        <f>IF(#REF!=1,#REF!,IF(#REF!=1,#REF!,IF(#REF!=1,#REF!,IF(#REF!=1,#REF!,IF(#REF!=1,#REF!,"1st Place "&amp;$A180)))))</f>
        <v>#REF!</v>
      </c>
      <c r="I180" s="93"/>
      <c r="J180" s="93"/>
      <c r="K180" s="94"/>
      <c r="L180" s="95" t="e">
        <f>IF(#REF!=2,#REF!,IF(#REF!=2,#REF!,IF(#REF!=2,#REF!,IF(#REF!=2,#REF!,IF(#REF!=2,#REF!,"2nd Place "&amp;$A180)))))</f>
        <v>#REF!</v>
      </c>
      <c r="M180" s="96"/>
      <c r="N180" s="96"/>
      <c r="O180" s="96"/>
      <c r="P180" s="96"/>
      <c r="Q180" s="96"/>
      <c r="R180" s="97" t="e">
        <f>IF(#REF!=2,#REF!,IF(#REF!=2,#REF!,IF(#REF!=2,#REF!,IF(#REF!=2,#REF!,IF(#REF!=2,#REF!,"2nd Place "&amp;$A180)))))</f>
        <v>#REF!</v>
      </c>
      <c r="S180" s="97"/>
      <c r="T180" s="97"/>
      <c r="U180" s="98"/>
      <c r="V180" s="99" t="e">
        <f>IF(#REF!=3,#REF!,IF(#REF!=3,#REF!,IF(#REF!=3,#REF!,IF(#REF!=3,#REF!,IF(#REF!=3,#REF!,"3rd Place "&amp;$A180)))))</f>
        <v>#REF!</v>
      </c>
      <c r="W180" s="100"/>
      <c r="X180" s="100"/>
      <c r="Y180" s="100"/>
      <c r="Z180" s="100"/>
      <c r="AA180" s="100"/>
      <c r="AB180" s="101" t="e">
        <f>IF(#REF!=3,#REF!,IF(#REF!=3,#REF!,IF(#REF!=3,#REF!,IF(#REF!=3,#REF!,IF(#REF!=3,#REF!,"3rd Place "&amp;$A180)))))</f>
        <v>#REF!</v>
      </c>
      <c r="AC180" s="101"/>
      <c r="AD180" s="101"/>
      <c r="AE180" s="102"/>
      <c r="AF180" s="87" t="e">
        <f>IF(#REF!=4,#REF!,IF(#REF!=4,#REF!,IF(#REF!=4,#REF!,IF(#REF!=4,#REF!,IF(#REF!=4,#REF!,"4th Place "&amp;$A180)))))</f>
        <v>#REF!</v>
      </c>
      <c r="AG180" s="88"/>
      <c r="AH180" s="88"/>
      <c r="AI180" s="88"/>
      <c r="AJ180" s="88"/>
      <c r="AK180" s="88"/>
      <c r="AL180" s="89" t="e">
        <f>IF(#REF!=4,#REF!,IF(#REF!=4,#REF!,IF(#REF!=4,#REF!,IF(#REF!=4,#REF!,IF(#REF!=4,#REF!,"4th Place "&amp;$A180)))))</f>
        <v>#REF!</v>
      </c>
      <c r="AM180" s="89"/>
      <c r="AN180" s="89"/>
      <c r="AO180" s="90"/>
    </row>
  </sheetData>
  <sheetProtection formatCells="0" selectLockedCells="1"/>
  <mergeCells count="322">
    <mergeCell ref="A1:AI1"/>
    <mergeCell ref="AT1:AV1"/>
    <mergeCell ref="A2:I2"/>
    <mergeCell ref="J2:X2"/>
    <mergeCell ref="Y2:AC2"/>
    <mergeCell ref="AD2:AI2"/>
    <mergeCell ref="A4:D4"/>
    <mergeCell ref="E4:M4"/>
    <mergeCell ref="N4:Q4"/>
    <mergeCell ref="R4:AA4"/>
    <mergeCell ref="AB4:AE4"/>
    <mergeCell ref="AF4:AI4"/>
    <mergeCell ref="B3:O3"/>
    <mergeCell ref="P3:R3"/>
    <mergeCell ref="S3:X3"/>
    <mergeCell ref="Y3:AD3"/>
    <mergeCell ref="AE3:AF3"/>
    <mergeCell ref="AG3:AI3"/>
    <mergeCell ref="A8:A9"/>
    <mergeCell ref="B8:D8"/>
    <mergeCell ref="E8:K8"/>
    <mergeCell ref="L8:P9"/>
    <mergeCell ref="R8:V9"/>
    <mergeCell ref="W8:Y9"/>
    <mergeCell ref="Z8:AB9"/>
    <mergeCell ref="B5:J5"/>
    <mergeCell ref="K5:AE5"/>
    <mergeCell ref="C6:H6"/>
    <mergeCell ref="I6:J6"/>
    <mergeCell ref="K6:AI6"/>
    <mergeCell ref="B7:K7"/>
    <mergeCell ref="L7:P7"/>
    <mergeCell ref="Q7:Q17"/>
    <mergeCell ref="R7:V7"/>
    <mergeCell ref="W7:Y7"/>
    <mergeCell ref="AC8:AE9"/>
    <mergeCell ref="AF8:AF9"/>
    <mergeCell ref="AG8:AG9"/>
    <mergeCell ref="AH8:AI9"/>
    <mergeCell ref="B9:D9"/>
    <mergeCell ref="E9:K9"/>
    <mergeCell ref="Z7:AB7"/>
    <mergeCell ref="AC7:AE7"/>
    <mergeCell ref="AH7:AI7"/>
    <mergeCell ref="Z10:AB11"/>
    <mergeCell ref="AC10:AE11"/>
    <mergeCell ref="AF10:AF11"/>
    <mergeCell ref="AG10:AG11"/>
    <mergeCell ref="AH10:AI11"/>
    <mergeCell ref="B11:D11"/>
    <mergeCell ref="E11:K11"/>
    <mergeCell ref="A10:A11"/>
    <mergeCell ref="B10:D10"/>
    <mergeCell ref="E10:K10"/>
    <mergeCell ref="L10:P11"/>
    <mergeCell ref="R10:V11"/>
    <mergeCell ref="W10:Y11"/>
    <mergeCell ref="Z12:AB13"/>
    <mergeCell ref="AC12:AE13"/>
    <mergeCell ref="AF12:AF13"/>
    <mergeCell ref="AG12:AG13"/>
    <mergeCell ref="AH12:AI13"/>
    <mergeCell ref="B13:D13"/>
    <mergeCell ref="E13:K13"/>
    <mergeCell ref="A12:A13"/>
    <mergeCell ref="B12:D12"/>
    <mergeCell ref="E12:K12"/>
    <mergeCell ref="L12:P13"/>
    <mergeCell ref="R12:V13"/>
    <mergeCell ref="W12:Y13"/>
    <mergeCell ref="Z14:AB15"/>
    <mergeCell ref="AC14:AE15"/>
    <mergeCell ref="AF14:AF15"/>
    <mergeCell ref="AG14:AG15"/>
    <mergeCell ref="AH14:AI15"/>
    <mergeCell ref="B15:D15"/>
    <mergeCell ref="E15:K15"/>
    <mergeCell ref="A14:A15"/>
    <mergeCell ref="B14:D14"/>
    <mergeCell ref="E14:K14"/>
    <mergeCell ref="L14:P15"/>
    <mergeCell ref="R14:V15"/>
    <mergeCell ref="W14:Y15"/>
    <mergeCell ref="Z16:AB17"/>
    <mergeCell ref="AC16:AE17"/>
    <mergeCell ref="AF16:AF17"/>
    <mergeCell ref="AG16:AG17"/>
    <mergeCell ref="AH16:AI17"/>
    <mergeCell ref="B17:D17"/>
    <mergeCell ref="E17:K17"/>
    <mergeCell ref="A16:A17"/>
    <mergeCell ref="B16:D16"/>
    <mergeCell ref="E16:K16"/>
    <mergeCell ref="L16:P17"/>
    <mergeCell ref="R16:V17"/>
    <mergeCell ref="W16:Y17"/>
    <mergeCell ref="B18:AI18"/>
    <mergeCell ref="B19:D19"/>
    <mergeCell ref="E19:G19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Q22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B21:D21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B22:D22"/>
    <mergeCell ref="E22:G22"/>
    <mergeCell ref="H22:J22"/>
    <mergeCell ref="K22:M22"/>
    <mergeCell ref="N22:P22"/>
    <mergeCell ref="Q22:S22"/>
    <mergeCell ref="T22:V22"/>
    <mergeCell ref="W22:Y22"/>
    <mergeCell ref="Z23:AB23"/>
    <mergeCell ref="AC23:AE23"/>
    <mergeCell ref="AT23:AV24"/>
    <mergeCell ref="AG57:AK57"/>
    <mergeCell ref="A89:AM89"/>
    <mergeCell ref="AN89:AQ89"/>
    <mergeCell ref="Z22:AB22"/>
    <mergeCell ref="AC22:AE22"/>
    <mergeCell ref="B23:D23"/>
    <mergeCell ref="E23:G23"/>
    <mergeCell ref="H23:J23"/>
    <mergeCell ref="K23:M23"/>
    <mergeCell ref="N23:P23"/>
    <mergeCell ref="Q23:S23"/>
    <mergeCell ref="T23:V23"/>
    <mergeCell ref="W23:Y23"/>
    <mergeCell ref="A90:AQ90"/>
    <mergeCell ref="C91:H91"/>
    <mergeCell ref="I91:J91"/>
    <mergeCell ref="K91:AI91"/>
    <mergeCell ref="B92:K92"/>
    <mergeCell ref="L92:P92"/>
    <mergeCell ref="Q92:Q102"/>
    <mergeCell ref="R92:V92"/>
    <mergeCell ref="W92:Y92"/>
    <mergeCell ref="Z92:AB92"/>
    <mergeCell ref="AC92:AE92"/>
    <mergeCell ref="AH92:AI92"/>
    <mergeCell ref="A93:A94"/>
    <mergeCell ref="B93:D93"/>
    <mergeCell ref="E93:K93"/>
    <mergeCell ref="L93:P94"/>
    <mergeCell ref="R93:V94"/>
    <mergeCell ref="W93:Y94"/>
    <mergeCell ref="Z93:AB94"/>
    <mergeCell ref="AC93:AE94"/>
    <mergeCell ref="AF95:AF96"/>
    <mergeCell ref="AG95:AG96"/>
    <mergeCell ref="AH95:AI96"/>
    <mergeCell ref="AF93:AF94"/>
    <mergeCell ref="AG93:AG94"/>
    <mergeCell ref="AH93:AI94"/>
    <mergeCell ref="B94:D94"/>
    <mergeCell ref="E94:K94"/>
    <mergeCell ref="A95:A96"/>
    <mergeCell ref="B95:D95"/>
    <mergeCell ref="E95:K95"/>
    <mergeCell ref="L95:P96"/>
    <mergeCell ref="R95:V96"/>
    <mergeCell ref="B96:D96"/>
    <mergeCell ref="E96:K96"/>
    <mergeCell ref="A97:A98"/>
    <mergeCell ref="B97:D97"/>
    <mergeCell ref="E97:K97"/>
    <mergeCell ref="L97:P98"/>
    <mergeCell ref="W95:Y96"/>
    <mergeCell ref="Z95:AB96"/>
    <mergeCell ref="AC95:AE96"/>
    <mergeCell ref="A99:A100"/>
    <mergeCell ref="B99:D99"/>
    <mergeCell ref="E99:K99"/>
    <mergeCell ref="L99:P100"/>
    <mergeCell ref="R99:V100"/>
    <mergeCell ref="W99:Y100"/>
    <mergeCell ref="Z99:AB100"/>
    <mergeCell ref="R97:V98"/>
    <mergeCell ref="W97:Y98"/>
    <mergeCell ref="Z97:AB98"/>
    <mergeCell ref="AC99:AE100"/>
    <mergeCell ref="AF99:AF100"/>
    <mergeCell ref="AG99:AG100"/>
    <mergeCell ref="AH99:AI100"/>
    <mergeCell ref="B100:D100"/>
    <mergeCell ref="E100:K100"/>
    <mergeCell ref="AH97:AI98"/>
    <mergeCell ref="B98:D98"/>
    <mergeCell ref="E98:K98"/>
    <mergeCell ref="AC97:AE98"/>
    <mergeCell ref="AF97:AF98"/>
    <mergeCell ref="AG97:AG98"/>
    <mergeCell ref="Z101:AB102"/>
    <mergeCell ref="AC101:AE102"/>
    <mergeCell ref="AF101:AF102"/>
    <mergeCell ref="AG101:AG102"/>
    <mergeCell ref="AH101:AI102"/>
    <mergeCell ref="B102:D102"/>
    <mergeCell ref="E102:K102"/>
    <mergeCell ref="A101:A102"/>
    <mergeCell ref="B101:D101"/>
    <mergeCell ref="E101:K101"/>
    <mergeCell ref="L101:P102"/>
    <mergeCell ref="R101:V102"/>
    <mergeCell ref="W101:Y102"/>
    <mergeCell ref="B103:AI103"/>
    <mergeCell ref="B104:D104"/>
    <mergeCell ref="E104:G104"/>
    <mergeCell ref="H104:J104"/>
    <mergeCell ref="K104:M104"/>
    <mergeCell ref="N104:P104"/>
    <mergeCell ref="Q104:S104"/>
    <mergeCell ref="T104:V104"/>
    <mergeCell ref="W104:Y104"/>
    <mergeCell ref="Z104:AB104"/>
    <mergeCell ref="AC104:AE104"/>
    <mergeCell ref="AF104:AQ107"/>
    <mergeCell ref="B105:D105"/>
    <mergeCell ref="E105:G105"/>
    <mergeCell ref="H105:J105"/>
    <mergeCell ref="K105:M105"/>
    <mergeCell ref="N105:P105"/>
    <mergeCell ref="Q105:S105"/>
    <mergeCell ref="T105:V105"/>
    <mergeCell ref="W105:Y105"/>
    <mergeCell ref="Z105:AB105"/>
    <mergeCell ref="AC105:AE105"/>
    <mergeCell ref="B106:D106"/>
    <mergeCell ref="E106:G106"/>
    <mergeCell ref="H106:J106"/>
    <mergeCell ref="K106:M106"/>
    <mergeCell ref="N106:P106"/>
    <mergeCell ref="Q106:S106"/>
    <mergeCell ref="T106:V106"/>
    <mergeCell ref="W106:Y106"/>
    <mergeCell ref="Z106:AB106"/>
    <mergeCell ref="AC106:AE106"/>
    <mergeCell ref="B107:D107"/>
    <mergeCell ref="E107:G107"/>
    <mergeCell ref="H107:J107"/>
    <mergeCell ref="K107:M107"/>
    <mergeCell ref="N107:P107"/>
    <mergeCell ref="Q107:S107"/>
    <mergeCell ref="T107:V107"/>
    <mergeCell ref="W107:Y107"/>
    <mergeCell ref="Z108:AB108"/>
    <mergeCell ref="AC108:AE108"/>
    <mergeCell ref="AG142:AK142"/>
    <mergeCell ref="A174:AM174"/>
    <mergeCell ref="AN174:AQ174"/>
    <mergeCell ref="Z107:AB107"/>
    <mergeCell ref="AC107:AE107"/>
    <mergeCell ref="B108:D108"/>
    <mergeCell ref="E108:G108"/>
    <mergeCell ref="H108:J108"/>
    <mergeCell ref="K108:M108"/>
    <mergeCell ref="N108:P108"/>
    <mergeCell ref="Q108:S108"/>
    <mergeCell ref="T108:V108"/>
    <mergeCell ref="W108:Y108"/>
    <mergeCell ref="A175:AQ175"/>
    <mergeCell ref="A176:A177"/>
    <mergeCell ref="B176:K176"/>
    <mergeCell ref="L176:U176"/>
    <mergeCell ref="V176:AE176"/>
    <mergeCell ref="AF176:AO176"/>
    <mergeCell ref="B177:G177"/>
    <mergeCell ref="H177:K177"/>
    <mergeCell ref="L177:Q177"/>
    <mergeCell ref="R177:U177"/>
    <mergeCell ref="V177:AA177"/>
    <mergeCell ref="AB177:AE177"/>
    <mergeCell ref="AF177:AK177"/>
    <mergeCell ref="AL177:AO177"/>
    <mergeCell ref="B178:G178"/>
    <mergeCell ref="H178:K178"/>
    <mergeCell ref="L178:Q178"/>
    <mergeCell ref="R178:U178"/>
    <mergeCell ref="V178:AA178"/>
    <mergeCell ref="AB178:AE178"/>
    <mergeCell ref="AF180:AK180"/>
    <mergeCell ref="AL180:AO180"/>
    <mergeCell ref="B180:G180"/>
    <mergeCell ref="H180:K180"/>
    <mergeCell ref="L180:Q180"/>
    <mergeCell ref="R180:U180"/>
    <mergeCell ref="V180:AA180"/>
    <mergeCell ref="AB180:AE180"/>
    <mergeCell ref="AF178:AK178"/>
    <mergeCell ref="AL178:AO178"/>
    <mergeCell ref="B179:G179"/>
    <mergeCell ref="H179:K179"/>
    <mergeCell ref="L179:Q179"/>
    <mergeCell ref="R179:U179"/>
    <mergeCell ref="V179:AA179"/>
    <mergeCell ref="AB179:AE179"/>
    <mergeCell ref="AF179:AK179"/>
    <mergeCell ref="AL179:AO179"/>
  </mergeCells>
  <conditionalFormatting sqref="A93 A8">
    <cfRule type="expression" dxfId="2539" priority="445" stopIfTrue="1">
      <formula>IF(AK9&gt;0,0,1)</formula>
    </cfRule>
  </conditionalFormatting>
  <conditionalFormatting sqref="A95:A96 A10:A11">
    <cfRule type="expression" dxfId="2538" priority="444" stopIfTrue="1">
      <formula>IF(AK9&gt;1,0,1)</formula>
    </cfRule>
  </conditionalFormatting>
  <conditionalFormatting sqref="A97:A98 A12:A13">
    <cfRule type="expression" dxfId="2537" priority="443" stopIfTrue="1">
      <formula>IF(AK9&gt;2,0,1)</formula>
    </cfRule>
  </conditionalFormatting>
  <conditionalFormatting sqref="A99:A100 A14:A15">
    <cfRule type="expression" dxfId="2536" priority="442" stopIfTrue="1">
      <formula>IF(AK9&gt;3,0,1)</formula>
    </cfRule>
  </conditionalFormatting>
  <conditionalFormatting sqref="A101:A102 A16:A17">
    <cfRule type="expression" dxfId="2535" priority="441" stopIfTrue="1">
      <formula>IF(AK9&gt;4,0,1)</formula>
    </cfRule>
  </conditionalFormatting>
  <conditionalFormatting sqref="B8 B93">
    <cfRule type="expression" dxfId="2534" priority="440" stopIfTrue="1">
      <formula>IF(AK9&gt;0,0,1)</formula>
    </cfRule>
  </conditionalFormatting>
  <conditionalFormatting sqref="B9 B94">
    <cfRule type="expression" dxfId="2533" priority="439" stopIfTrue="1">
      <formula>IF(AK9&gt;0,0,1)</formula>
    </cfRule>
  </conditionalFormatting>
  <conditionalFormatting sqref="B10 B95">
    <cfRule type="expression" dxfId="2532" priority="438" stopIfTrue="1">
      <formula>IF(AK9&gt;1,0,1)</formula>
    </cfRule>
  </conditionalFormatting>
  <conditionalFormatting sqref="B11:D11 B96:D96">
    <cfRule type="expression" dxfId="2531" priority="437" stopIfTrue="1">
      <formula>IF(AK9&gt;1,0,1)</formula>
    </cfRule>
  </conditionalFormatting>
  <conditionalFormatting sqref="B12:D12 B97:D97">
    <cfRule type="expression" dxfId="2530" priority="436" stopIfTrue="1">
      <formula>IF(AK9&gt;2,0,1)</formula>
    </cfRule>
  </conditionalFormatting>
  <conditionalFormatting sqref="B13:D13 B98:D98">
    <cfRule type="expression" dxfId="2529" priority="435" stopIfTrue="1">
      <formula>IF(AK9&gt;2,0,1)</formula>
    </cfRule>
  </conditionalFormatting>
  <conditionalFormatting sqref="B14:D14 B99:D99">
    <cfRule type="expression" dxfId="2528" priority="434" stopIfTrue="1">
      <formula>IF(AK9&gt;3,0,1)</formula>
    </cfRule>
  </conditionalFormatting>
  <conditionalFormatting sqref="B15:D15 B100:D100">
    <cfRule type="expression" dxfId="2527" priority="433" stopIfTrue="1">
      <formula>IF(AK9&gt;3,0,1)</formula>
    </cfRule>
  </conditionalFormatting>
  <conditionalFormatting sqref="B16:D16 B101:D101">
    <cfRule type="expression" dxfId="2526" priority="432" stopIfTrue="1">
      <formula>IF(AK9&gt;4,0,1)</formula>
    </cfRule>
  </conditionalFormatting>
  <conditionalFormatting sqref="B17:D17 B102:D102">
    <cfRule type="expression" dxfId="2525" priority="431" stopIfTrue="1">
      <formula>IF(AK9&gt;4,0,1)</formula>
    </cfRule>
  </conditionalFormatting>
  <conditionalFormatting sqref="E16 E101">
    <cfRule type="expression" dxfId="2524" priority="422" stopIfTrue="1">
      <formula>IF(AK9&gt;4,0,1)</formula>
    </cfRule>
  </conditionalFormatting>
  <conditionalFormatting sqref="E17 E102">
    <cfRule type="expression" dxfId="2523" priority="421" stopIfTrue="1">
      <formula>IF(AK9&gt;4,0,1)</formula>
    </cfRule>
  </conditionalFormatting>
  <conditionalFormatting sqref="AC93 AC8">
    <cfRule type="expression" dxfId="2522" priority="420" stopIfTrue="1">
      <formula>IF(AK11=1,IF(AK9&gt;0,0,1),1)</formula>
    </cfRule>
  </conditionalFormatting>
  <conditionalFormatting sqref="AC95:AE96 AC10:AE11">
    <cfRule type="expression" dxfId="2521" priority="419" stopIfTrue="1">
      <formula>IF(AK11=1,IF(AK9&gt;1,0,1),1)</formula>
    </cfRule>
  </conditionalFormatting>
  <conditionalFormatting sqref="AC97:AE98 AC12:AE13">
    <cfRule type="expression" dxfId="2520" priority="418" stopIfTrue="1">
      <formula>IF(AK11=1,IF(AK9&gt;2,0,1),1)</formula>
    </cfRule>
  </conditionalFormatting>
  <conditionalFormatting sqref="AC99:AE100 AC14:AE15">
    <cfRule type="expression" dxfId="2519" priority="417" stopIfTrue="1">
      <formula>IF(AK11=1,IF(AK9&gt;3,0,1),1)</formula>
    </cfRule>
  </conditionalFormatting>
  <conditionalFormatting sqref="AC101:AE102 AC16:AE17">
    <cfRule type="expression" dxfId="2518" priority="416" stopIfTrue="1">
      <formula>IF(AK11=1,IF(AK9&gt;4,0,1),1)</formula>
    </cfRule>
  </conditionalFormatting>
  <conditionalFormatting sqref="AH93 AH8">
    <cfRule type="expression" dxfId="2517" priority="415" stopIfTrue="1">
      <formula>IF(AK9&gt;0,0,1)</formula>
    </cfRule>
  </conditionalFormatting>
  <conditionalFormatting sqref="AH95:AI96 AH10:AI11">
    <cfRule type="expression" dxfId="2516" priority="414" stopIfTrue="1">
      <formula>IF(AK9&gt;1,0,1)</formula>
    </cfRule>
  </conditionalFormatting>
  <conditionalFormatting sqref="AH97:AI98 AH12:AI13">
    <cfRule type="expression" dxfId="2515" priority="413" stopIfTrue="1">
      <formula>IF(AK9&gt;2,0,1)</formula>
    </cfRule>
  </conditionalFormatting>
  <conditionalFormatting sqref="AH99:AI100 AH14:AI15">
    <cfRule type="expression" dxfId="2514" priority="412" stopIfTrue="1">
      <formula>IF(AK9&gt;3,0,1)</formula>
    </cfRule>
  </conditionalFormatting>
  <conditionalFormatting sqref="AH101:AI102 AH16:AI17">
    <cfRule type="expression" dxfId="2513" priority="411" stopIfTrue="1">
      <formula>IF(AK9&gt;4,0,1)</formula>
    </cfRule>
  </conditionalFormatting>
  <conditionalFormatting sqref="K19:M19 K104:M104">
    <cfRule type="expression" dxfId="2512" priority="410" stopIfTrue="1">
      <formula>IF(AK8&gt;3,0,1)</formula>
    </cfRule>
  </conditionalFormatting>
  <conditionalFormatting sqref="N19:P19 N104:P104">
    <cfRule type="expression" dxfId="2511" priority="409" stopIfTrue="1">
      <formula>IF(AK8&gt;4,0,1)</formula>
    </cfRule>
  </conditionalFormatting>
  <conditionalFormatting sqref="Q19:S19 Q104:S104">
    <cfRule type="expression" dxfId="2510" priority="408" stopIfTrue="1">
      <formula>IF(AK8&gt;5,0,1)</formula>
    </cfRule>
  </conditionalFormatting>
  <conditionalFormatting sqref="T19:V19 T104:V104">
    <cfRule type="expression" dxfId="2509" priority="407" stopIfTrue="1">
      <formula>IF(AK8&gt;6,0,1)</formula>
    </cfRule>
  </conditionalFormatting>
  <conditionalFormatting sqref="W19:Y19 W104:Y104">
    <cfRule type="expression" dxfId="2508" priority="406" stopIfTrue="1">
      <formula>IF(AK8&gt;7,0,1)</formula>
    </cfRule>
  </conditionalFormatting>
  <conditionalFormatting sqref="Z19:AB19 Z104:AB104">
    <cfRule type="expression" dxfId="2507" priority="405" stopIfTrue="1">
      <formula>IF(AK8&gt;8,0,1)</formula>
    </cfRule>
  </conditionalFormatting>
  <conditionalFormatting sqref="AC19:AE19 AC104:AE104">
    <cfRule type="expression" dxfId="2506" priority="404" stopIfTrue="1">
      <formula>IF(AK8&gt;9,0,1)</formula>
    </cfRule>
  </conditionalFormatting>
  <conditionalFormatting sqref="B20:D20 B105:D105">
    <cfRule type="expression" dxfId="2505" priority="403" stopIfTrue="1">
      <formula>IF(AK8&gt;0,0,1)</formula>
    </cfRule>
  </conditionalFormatting>
  <conditionalFormatting sqref="E20:G20 E105:G105">
    <cfRule type="expression" dxfId="2504" priority="402" stopIfTrue="1">
      <formula>IF(AK8&gt;1,0,1)</formula>
    </cfRule>
  </conditionalFormatting>
  <conditionalFormatting sqref="H20:J20 H105:J105">
    <cfRule type="expression" dxfId="2503" priority="401" stopIfTrue="1">
      <formula>IF(AK8&gt;2,0,1)</formula>
    </cfRule>
  </conditionalFormatting>
  <conditionalFormatting sqref="K105:M105 K20:M20">
    <cfRule type="expression" dxfId="2502" priority="400" stopIfTrue="1">
      <formula>IF(AK8&gt;3,0,1)</formula>
    </cfRule>
  </conditionalFormatting>
  <conditionalFormatting sqref="N105:P105 N20:P20">
    <cfRule type="expression" dxfId="2501" priority="399" stopIfTrue="1">
      <formula>IF(AK8&gt;4,0,1)</formula>
    </cfRule>
  </conditionalFormatting>
  <conditionalFormatting sqref="Q105:S105 Q20:S20">
    <cfRule type="expression" dxfId="2500" priority="398" stopIfTrue="1">
      <formula>IF(AK8&gt;5,0,1)</formula>
    </cfRule>
  </conditionalFormatting>
  <conditionalFormatting sqref="T105:V105 T20:V20">
    <cfRule type="expression" dxfId="2499" priority="397" stopIfTrue="1">
      <formula>IF(AK8&gt;6,0,1)</formula>
    </cfRule>
  </conditionalFormatting>
  <conditionalFormatting sqref="W105:Y105 W20:Y20">
    <cfRule type="expression" dxfId="2498" priority="396" stopIfTrue="1">
      <formula>IF(AK8&gt;7,0,1)</formula>
    </cfRule>
  </conditionalFormatting>
  <conditionalFormatting sqref="Z105:AB105 Z20:AB20">
    <cfRule type="expression" dxfId="2497" priority="395" stopIfTrue="1">
      <formula>IF(AK8&gt;8,0,1)</formula>
    </cfRule>
  </conditionalFormatting>
  <conditionalFormatting sqref="AC105:AE105 AC20:AE20">
    <cfRule type="expression" dxfId="2496" priority="394" stopIfTrue="1">
      <formula>IF(AK8&gt;9,0,1)</formula>
    </cfRule>
  </conditionalFormatting>
  <conditionalFormatting sqref="T22:V22 T107:V107">
    <cfRule type="expression" dxfId="2495" priority="388" stopIfTrue="1">
      <formula>IF(AK8&gt;6,0,1)</formula>
    </cfRule>
  </conditionalFormatting>
  <conditionalFormatting sqref="W22:Y22 W107:Y107">
    <cfRule type="expression" dxfId="2494" priority="387" stopIfTrue="1">
      <formula>IF(AK8&gt;7,0,1)</formula>
    </cfRule>
  </conditionalFormatting>
  <conditionalFormatting sqref="Z22:AB22 Z107:AB107">
    <cfRule type="expression" dxfId="2493" priority="386" stopIfTrue="1">
      <formula>IF(AK8&gt;8,0,1)</formula>
    </cfRule>
  </conditionalFormatting>
  <conditionalFormatting sqref="AC22:AE22 AC107:AE107">
    <cfRule type="expression" dxfId="2492" priority="385" stopIfTrue="1">
      <formula>IF(AK8&gt;9,0,1)</formula>
    </cfRule>
  </conditionalFormatting>
  <conditionalFormatting sqref="T108:V108 T23:V23">
    <cfRule type="expression" dxfId="2491" priority="366" stopIfTrue="1">
      <formula>IF(AK8&gt;6,0,1)</formula>
    </cfRule>
  </conditionalFormatting>
  <conditionalFormatting sqref="U24 U109">
    <cfRule type="expression" dxfId="2490" priority="365" stopIfTrue="1">
      <formula>IF(AK8&gt;6,0,1)</formula>
    </cfRule>
  </conditionalFormatting>
  <conditionalFormatting sqref="V24 V109">
    <cfRule type="expression" dxfId="2489" priority="364" stopIfTrue="1">
      <formula>IF(AK8&gt;6,0,1)</formula>
    </cfRule>
  </conditionalFormatting>
  <conditionalFormatting sqref="W108:Y108 W23:Y23">
    <cfRule type="expression" dxfId="2488" priority="363" stopIfTrue="1">
      <formula>IF(AK8&gt;7,0,1)</formula>
    </cfRule>
  </conditionalFormatting>
  <conditionalFormatting sqref="X24 X109">
    <cfRule type="expression" dxfId="2487" priority="362" stopIfTrue="1">
      <formula>IF(AK8&gt;7,0,1)</formula>
    </cfRule>
  </conditionalFormatting>
  <conditionalFormatting sqref="Y24 Y109">
    <cfRule type="expression" dxfId="2486" priority="361" stopIfTrue="1">
      <formula>IF(AK8&gt;7,0,1)</formula>
    </cfRule>
  </conditionalFormatting>
  <conditionalFormatting sqref="Z108:AB108 Z23:AB23">
    <cfRule type="expression" dxfId="2485" priority="360" stopIfTrue="1">
      <formula>IF(AK8&gt;8,0,1)</formula>
    </cfRule>
  </conditionalFormatting>
  <conditionalFormatting sqref="AA24 AA109">
    <cfRule type="expression" dxfId="2484" priority="359" stopIfTrue="1">
      <formula>IF(AK8&gt;8,0,1)</formula>
    </cfRule>
  </conditionalFormatting>
  <conditionalFormatting sqref="AB24 AB109">
    <cfRule type="expression" dxfId="2483" priority="358" stopIfTrue="1">
      <formula>IF(AK8&gt;8,0,1)</formula>
    </cfRule>
  </conditionalFormatting>
  <conditionalFormatting sqref="AC108:AE108 AC23:AE23">
    <cfRule type="expression" dxfId="2482" priority="357" stopIfTrue="1">
      <formula>IF(AK8&gt;9,0,1)</formula>
    </cfRule>
  </conditionalFormatting>
  <conditionalFormatting sqref="AD24 AD109">
    <cfRule type="expression" dxfId="2481" priority="356" stopIfTrue="1">
      <formula>IF(AK8&gt;9,0,1)</formula>
    </cfRule>
  </conditionalFormatting>
  <conditionalFormatting sqref="AE24 AE109">
    <cfRule type="expression" dxfId="2480" priority="355" stopIfTrue="1">
      <formula>IF(AK8&gt;9,0,1)</formula>
    </cfRule>
  </conditionalFormatting>
  <conditionalFormatting sqref="A26 A111">
    <cfRule type="expression" dxfId="2479" priority="354" stopIfTrue="1">
      <formula>IF(AK7&gt;1,0,1)</formula>
    </cfRule>
  </conditionalFormatting>
  <conditionalFormatting sqref="A27 A112">
    <cfRule type="expression" dxfId="2478" priority="353" stopIfTrue="1">
      <formula>IF(AK7&gt;2,0,1)</formula>
    </cfRule>
  </conditionalFormatting>
  <conditionalFormatting sqref="A28 A113">
    <cfRule type="expression" dxfId="2477" priority="352" stopIfTrue="1">
      <formula>IF(AK7&gt;3,0,1)</formula>
    </cfRule>
  </conditionalFormatting>
  <conditionalFormatting sqref="A29 A114">
    <cfRule type="expression" dxfId="2476" priority="351" stopIfTrue="1">
      <formula>IF(AK7&gt;4,0,1)</formula>
    </cfRule>
  </conditionalFormatting>
  <conditionalFormatting sqref="B26:D26 B111:D111">
    <cfRule type="expression" dxfId="2475" priority="349" stopIfTrue="1">
      <formula>IF($AK8&lt;1,1,IF($AK7&lt;2,1,0))</formula>
    </cfRule>
  </conditionalFormatting>
  <conditionalFormatting sqref="B27:D27 B112:D112">
    <cfRule type="expression" dxfId="2474" priority="348" stopIfTrue="1">
      <formula>IF($AK8&lt;1,1,IF($AK7&lt;3,1,0))</formula>
    </cfRule>
  </conditionalFormatting>
  <conditionalFormatting sqref="B28:D28 B113:D113">
    <cfRule type="expression" dxfId="2473" priority="347" stopIfTrue="1">
      <formula>IF($AK8&lt;1,1,IF($AK7&lt;4,1,0))</formula>
    </cfRule>
  </conditionalFormatting>
  <conditionalFormatting sqref="B29:D29 B114:D114">
    <cfRule type="expression" dxfId="2472" priority="346" stopIfTrue="1">
      <formula>IF($AK8&lt;1,1,IF($AK7&lt;5,1,0))</formula>
    </cfRule>
  </conditionalFormatting>
  <conditionalFormatting sqref="AF26 AF111">
    <cfRule type="expression" dxfId="2471" priority="345" stopIfTrue="1">
      <formula>IF($AK9&gt;2,0,1)</formula>
    </cfRule>
  </conditionalFormatting>
  <conditionalFormatting sqref="AF25 AF110">
    <cfRule type="expression" dxfId="2470" priority="344" stopIfTrue="1">
      <formula>IF($AK9&gt;1,0,1)</formula>
    </cfRule>
  </conditionalFormatting>
  <conditionalFormatting sqref="AF24 AF109">
    <cfRule type="expression" dxfId="2469" priority="343" stopIfTrue="1">
      <formula>IF($AK9&gt;0,0,1)</formula>
    </cfRule>
  </conditionalFormatting>
  <conditionalFormatting sqref="AF27 AF112">
    <cfRule type="expression" dxfId="2468" priority="342" stopIfTrue="1">
      <formula>IF($AK9&gt;3,0,1)</formula>
    </cfRule>
  </conditionalFormatting>
  <conditionalFormatting sqref="AF28 AF113">
    <cfRule type="expression" dxfId="2467" priority="341" stopIfTrue="1">
      <formula>IF($AK9&gt;4,0,1)</formula>
    </cfRule>
  </conditionalFormatting>
  <conditionalFormatting sqref="AG23 AG108">
    <cfRule type="expression" dxfId="2466" priority="340" stopIfTrue="1">
      <formula>IF($AK8&lt;1,1,0)</formula>
    </cfRule>
  </conditionalFormatting>
  <conditionalFormatting sqref="AH23 AH108">
    <cfRule type="expression" dxfId="2465" priority="339" stopIfTrue="1">
      <formula>IF($AK8&lt;2,1,0)</formula>
    </cfRule>
  </conditionalFormatting>
  <conditionalFormatting sqref="AI23 AI108">
    <cfRule type="expression" dxfId="2464" priority="338" stopIfTrue="1">
      <formula>IF($AK8&lt;3,1,0)</formula>
    </cfRule>
  </conditionalFormatting>
  <conditionalFormatting sqref="AJ23 AJ108">
    <cfRule type="expression" dxfId="2463" priority="337" stopIfTrue="1">
      <formula>IF($AK8&lt;4,1,0)</formula>
    </cfRule>
  </conditionalFormatting>
  <conditionalFormatting sqref="AK23 AK108">
    <cfRule type="expression" dxfId="2462" priority="336" stopIfTrue="1">
      <formula>IF($AK8&lt;5,1,0)</formula>
    </cfRule>
  </conditionalFormatting>
  <conditionalFormatting sqref="AL23 AL108">
    <cfRule type="expression" dxfId="2461" priority="335" stopIfTrue="1">
      <formula>IF($AK8&lt;6,1,0)</formula>
    </cfRule>
  </conditionalFormatting>
  <conditionalFormatting sqref="AM23 AM108">
    <cfRule type="expression" dxfId="2460" priority="334" stopIfTrue="1">
      <formula>IF($AK8&lt;7,1,0)</formula>
    </cfRule>
  </conditionalFormatting>
  <conditionalFormatting sqref="AN23 AN108">
    <cfRule type="expression" dxfId="2459" priority="333" stopIfTrue="1">
      <formula>IF($AK8&lt;8,1,0)</formula>
    </cfRule>
  </conditionalFormatting>
  <conditionalFormatting sqref="AO23 AO108">
    <cfRule type="expression" dxfId="2458" priority="332" stopIfTrue="1">
      <formula>IF($AK8&lt;9,1,0)</formula>
    </cfRule>
  </conditionalFormatting>
  <conditionalFormatting sqref="AP23 AP108">
    <cfRule type="expression" dxfId="2457" priority="331" stopIfTrue="1">
      <formula>IF($AK8&lt;10,1,0)</formula>
    </cfRule>
  </conditionalFormatting>
  <conditionalFormatting sqref="AQ24 AQ109">
    <cfRule type="expression" dxfId="2456" priority="330" stopIfTrue="1">
      <formula>IF($AK9&gt;0,0,1)</formula>
    </cfRule>
  </conditionalFormatting>
  <conditionalFormatting sqref="AQ25 AQ110">
    <cfRule type="expression" dxfId="2455" priority="329" stopIfTrue="1">
      <formula>IF($AK9&gt;1,0,1)</formula>
    </cfRule>
  </conditionalFormatting>
  <conditionalFormatting sqref="AQ26 AQ111">
    <cfRule type="expression" dxfId="2454" priority="328" stopIfTrue="1">
      <formula>IF($AK9&gt;2,0,1)</formula>
    </cfRule>
  </conditionalFormatting>
  <conditionalFormatting sqref="AQ28 AQ113">
    <cfRule type="expression" dxfId="2453" priority="326" stopIfTrue="1">
      <formula>IF($AK9&gt;4,0,1)</formula>
    </cfRule>
  </conditionalFormatting>
  <conditionalFormatting sqref="E26:G26 E111:G111">
    <cfRule type="expression" dxfId="2452" priority="325" stopIfTrue="1">
      <formula>IF($AK8&lt;2,1,IF($AK7&lt;2,1,0))</formula>
    </cfRule>
  </conditionalFormatting>
  <conditionalFormatting sqref="E27:G27 E112:G112">
    <cfRule type="expression" dxfId="2451" priority="324" stopIfTrue="1">
      <formula>IF($AK8&lt;2,1,IF($AK7&lt;3,1,0))</formula>
    </cfRule>
  </conditionalFormatting>
  <conditionalFormatting sqref="E28:G28 E113:G113">
    <cfRule type="expression" dxfId="2450" priority="323" stopIfTrue="1">
      <formula>IF($AK8&lt;2,1,IF($AK7&lt;4,1,0))</formula>
    </cfRule>
  </conditionalFormatting>
  <conditionalFormatting sqref="E29:G29 E114:G114">
    <cfRule type="expression" dxfId="2449" priority="322" stopIfTrue="1">
      <formula>IF($AK8&lt;2,1,IF($AK7&lt;5,1,0))</formula>
    </cfRule>
  </conditionalFormatting>
  <conditionalFormatting sqref="T25:V25 T110:V110">
    <cfRule type="expression" dxfId="2448" priority="319" stopIfTrue="1">
      <formula>IF($AK8&gt;6,0,1)</formula>
    </cfRule>
  </conditionalFormatting>
  <conditionalFormatting sqref="W25:Y25 W110:Y110">
    <cfRule type="expression" dxfId="2447" priority="318" stopIfTrue="1">
      <formula>IF($AK8&gt;7,0,1)</formula>
    </cfRule>
  </conditionalFormatting>
  <conditionalFormatting sqref="Z25:AB25 Z110:AB110">
    <cfRule type="expression" dxfId="2446" priority="317" stopIfTrue="1">
      <formula>IF($AK8&gt;8,0,1)</formula>
    </cfRule>
  </conditionalFormatting>
  <conditionalFormatting sqref="AC25:AE25 AC110:AE110">
    <cfRule type="expression" dxfId="2445" priority="316" stopIfTrue="1">
      <formula>IF($AK8&gt;9,0,1)</formula>
    </cfRule>
  </conditionalFormatting>
  <conditionalFormatting sqref="H26:J26 H111:J111">
    <cfRule type="expression" dxfId="2444" priority="315" stopIfTrue="1">
      <formula>IF($AK8&lt;3,1,IF($AK7&lt;2,1,0))</formula>
    </cfRule>
  </conditionalFormatting>
  <conditionalFormatting sqref="K26:M26 K111:M111">
    <cfRule type="expression" dxfId="2443" priority="314" stopIfTrue="1">
      <formula>IF($AK8&lt;4,1,IF($AK7&lt;2,1,0))</formula>
    </cfRule>
  </conditionalFormatting>
  <conditionalFormatting sqref="N26:P26 N111:P111">
    <cfRule type="expression" dxfId="2442" priority="313" stopIfTrue="1">
      <formula>IF($AK8&lt;5,1,IF($AK7&lt;2,1,0))</formula>
    </cfRule>
  </conditionalFormatting>
  <conditionalFormatting sqref="Q26:S26 Q111:S111">
    <cfRule type="expression" dxfId="2441" priority="312" stopIfTrue="1">
      <formula>IF($AK8&lt;6,1,IF($AK7&lt;2,1,0))</formula>
    </cfRule>
  </conditionalFormatting>
  <conditionalFormatting sqref="T26:V26 T111:V111">
    <cfRule type="expression" dxfId="2440" priority="311" stopIfTrue="1">
      <formula>IF($AK8&lt;7,1,IF($AK7&lt;2,1,0))</formula>
    </cfRule>
  </conditionalFormatting>
  <conditionalFormatting sqref="W26:Y26 W111:Y111">
    <cfRule type="expression" dxfId="2439" priority="310" stopIfTrue="1">
      <formula>IF($AK8&lt;8,1,IF($AK7&lt;2,1,0))</formula>
    </cfRule>
  </conditionalFormatting>
  <conditionalFormatting sqref="Z26:AB26 Z111:AB111">
    <cfRule type="expression" dxfId="2438" priority="309" stopIfTrue="1">
      <formula>IF($AK8&lt;9,1,IF($AK7&lt;2,1,0))</formula>
    </cfRule>
  </conditionalFormatting>
  <conditionalFormatting sqref="AC26:AE26 AC111:AE111">
    <cfRule type="expression" dxfId="2437" priority="308" stopIfTrue="1">
      <formula>IF($AK8&lt;10,1,IF($AK7&lt;2,1,0))</formula>
    </cfRule>
  </conditionalFormatting>
  <conditionalFormatting sqref="H27:J27 H112:J112">
    <cfRule type="expression" dxfId="2436" priority="307" stopIfTrue="1">
      <formula>IF($AK8&lt;3,1,IF($AK7&lt;3,1,0))</formula>
    </cfRule>
  </conditionalFormatting>
  <conditionalFormatting sqref="K27:M27 K112:M112">
    <cfRule type="expression" dxfId="2435" priority="306" stopIfTrue="1">
      <formula>IF($AK8&lt;4,1,IF($AK7&lt;3,1,0))</formula>
    </cfRule>
  </conditionalFormatting>
  <conditionalFormatting sqref="N27:P27 N112:P112">
    <cfRule type="expression" dxfId="2434" priority="305" stopIfTrue="1">
      <formula>IF($AK8&lt;5,1,IF($AK7&lt;3,1,0))</formula>
    </cfRule>
  </conditionalFormatting>
  <conditionalFormatting sqref="Q27:S27 Q112:S112">
    <cfRule type="expression" dxfId="2433" priority="304" stopIfTrue="1">
      <formula>IF($AK8&lt;6,1,IF($AK7&lt;3,1,0))</formula>
    </cfRule>
  </conditionalFormatting>
  <conditionalFormatting sqref="T27:V27 T112:V112">
    <cfRule type="expression" dxfId="2432" priority="303" stopIfTrue="1">
      <formula>IF($AK8&lt;7,1,IF($AK7&lt;3,1,0))</formula>
    </cfRule>
  </conditionalFormatting>
  <conditionalFormatting sqref="W27:Y27 W112:Y112">
    <cfRule type="expression" dxfId="2431" priority="302" stopIfTrue="1">
      <formula>IF($AK8&lt;8,1,IF($AK7&lt;3,1,0))</formula>
    </cfRule>
  </conditionalFormatting>
  <conditionalFormatting sqref="Z27:AB27 Z112:AB112">
    <cfRule type="expression" dxfId="2430" priority="301" stopIfTrue="1">
      <formula>IF($AK8&lt;9,1,IF($AK7&lt;3,1,0))</formula>
    </cfRule>
  </conditionalFormatting>
  <conditionalFormatting sqref="AC27:AE27 AC112:AE112">
    <cfRule type="expression" dxfId="2429" priority="300" stopIfTrue="1">
      <formula>IF($AK8&lt;10,1,IF($AK7&lt;3,1,0))</formula>
    </cfRule>
  </conditionalFormatting>
  <conditionalFormatting sqref="H28:J28 H113:J113">
    <cfRule type="expression" dxfId="2428" priority="299" stopIfTrue="1">
      <formula>IF($AK8&lt;3,1,IF($AK7&lt;4,1,0))</formula>
    </cfRule>
  </conditionalFormatting>
  <conditionalFormatting sqref="K28:M28 K113:M113">
    <cfRule type="expression" dxfId="2427" priority="298" stopIfTrue="1">
      <formula>IF($AK8&lt;4,1,IF($AK7&lt;4,1,0))</formula>
    </cfRule>
  </conditionalFormatting>
  <conditionalFormatting sqref="N28:P28 N113:P113">
    <cfRule type="expression" dxfId="2426" priority="297" stopIfTrue="1">
      <formula>IF($AK8&lt;5,1,IF($AK7&lt;4,1,0))</formula>
    </cfRule>
  </conditionalFormatting>
  <conditionalFormatting sqref="Q28:S28 Q113:S113">
    <cfRule type="expression" dxfId="2425" priority="296" stopIfTrue="1">
      <formula>IF($AK8&lt;6,1,IF($AK7&lt;4,1,0))</formula>
    </cfRule>
  </conditionalFormatting>
  <conditionalFormatting sqref="T28:V28 T113:V113">
    <cfRule type="expression" dxfId="2424" priority="295" stopIfTrue="1">
      <formula>IF($AK8&lt;7,1,IF($AK7&lt;4,1,0))</formula>
    </cfRule>
  </conditionalFormatting>
  <conditionalFormatting sqref="W28:Y28 W113:Y113">
    <cfRule type="expression" dxfId="2423" priority="294" stopIfTrue="1">
      <formula>IF($AK8&lt;8,1,IF($AK7&lt;4,1,0))</formula>
    </cfRule>
  </conditionalFormatting>
  <conditionalFormatting sqref="Z28:AB28 Z113:AB113">
    <cfRule type="expression" dxfId="2422" priority="293" stopIfTrue="1">
      <formula>IF($AK8&lt;9,1,IF($AK7&lt;4,1,0))</formula>
    </cfRule>
  </conditionalFormatting>
  <conditionalFormatting sqref="AC28:AE28 AC113:AE113">
    <cfRule type="expression" dxfId="2421" priority="292" stopIfTrue="1">
      <formula>IF($AK8&lt;10,1,IF($AK7&lt;4,1,0))</formula>
    </cfRule>
  </conditionalFormatting>
  <conditionalFormatting sqref="H29:J29 H114:J114">
    <cfRule type="expression" dxfId="2420" priority="291" stopIfTrue="1">
      <formula>IF($AK8&lt;3,1,IF($AK7&lt;5,1,0))</formula>
    </cfRule>
  </conditionalFormatting>
  <conditionalFormatting sqref="K29:M29 K114:M114">
    <cfRule type="expression" dxfId="2419" priority="290" stopIfTrue="1">
      <formula>IF($AK8&lt;4,1,IF($AK7&lt;5,1,0))</formula>
    </cfRule>
  </conditionalFormatting>
  <conditionalFormatting sqref="N29:P29 N114:P114">
    <cfRule type="expression" dxfId="2418" priority="289" stopIfTrue="1">
      <formula>IF($AK8&lt;5,1,IF($AK7&lt;5,1,0))</formula>
    </cfRule>
  </conditionalFormatting>
  <conditionalFormatting sqref="Q29:S29 Q114:S114">
    <cfRule type="expression" dxfId="2417" priority="288" stopIfTrue="1">
      <formula>IF($AK8&lt;6,1,IF($AK7&lt;5,1,0))</formula>
    </cfRule>
  </conditionalFormatting>
  <conditionalFormatting sqref="T29:V29 T114:V114">
    <cfRule type="expression" dxfId="2416" priority="287" stopIfTrue="1">
      <formula>IF($AK8&lt;7,1,IF($AK7&lt;5,1,0))</formula>
    </cfRule>
  </conditionalFormatting>
  <conditionalFormatting sqref="W29:Y29 W114:Y114">
    <cfRule type="expression" dxfId="2415" priority="286" stopIfTrue="1">
      <formula>IF($AK8&lt;8,1,IF($AK7&lt;5,1,0))</formula>
    </cfRule>
  </conditionalFormatting>
  <conditionalFormatting sqref="Z29:AB29 Z114:AB114">
    <cfRule type="expression" dxfId="2414" priority="285" stopIfTrue="1">
      <formula>IF($AK8&lt;9,1,IF($AK7&lt;5,1,0))</formula>
    </cfRule>
  </conditionalFormatting>
  <conditionalFormatting sqref="AC29:AE29 AC114:AE114">
    <cfRule type="expression" dxfId="2413" priority="284" stopIfTrue="1">
      <formula>IF($AK8&lt;10,1,IF($AK7&lt;5,1,0))</formula>
    </cfRule>
  </conditionalFormatting>
  <conditionalFormatting sqref="R14:AB15 AF14:AF15 L14:P15 R99:AB100 AF99:AF100 L99:P100 AG14 AG99">
    <cfRule type="expression" dxfId="2412" priority="283" stopIfTrue="1">
      <formula>IF($AK9&gt;3,0,1)</formula>
    </cfRule>
  </conditionalFormatting>
  <conditionalFormatting sqref="R16:AB17 AF16:AF17 L16:P17 R101:AB102 AF101:AF102 L101:P102 AG16 AG101">
    <cfRule type="expression" dxfId="2411" priority="282" stopIfTrue="1">
      <formula>IF($AK9&gt;4,0,1)</formula>
    </cfRule>
  </conditionalFormatting>
  <conditionalFormatting sqref="R8:AB9 AF8:AF9 L8:P9 R93:AB94 AF93:AF94 L93:P94 AG8 AG93">
    <cfRule type="expression" dxfId="2410" priority="281" stopIfTrue="1">
      <formula>IF($AK9&gt;0,0,1)</formula>
    </cfRule>
  </conditionalFormatting>
  <conditionalFormatting sqref="R10:AB11 AF10:AF11 L10:P11 R95:AB96 AF95:AF96 L95:P96 AG10 AG95">
    <cfRule type="expression" dxfId="2409" priority="280" stopIfTrue="1">
      <formula>IF($AK9&gt;1,0,1)</formula>
    </cfRule>
  </conditionalFormatting>
  <conditionalFormatting sqref="R12:AB13 AF12:AF13 L12:P13 R97:AB98 AF97:AF98 L97:P98 AG12 AG97">
    <cfRule type="expression" dxfId="2408" priority="279" stopIfTrue="1">
      <formula>IF($AK9&gt;2,0,1)</formula>
    </cfRule>
  </conditionalFormatting>
  <conditionalFormatting sqref="T109 T24">
    <cfRule type="expression" dxfId="2407" priority="273" stopIfTrue="1">
      <formula>IF(AK8&gt;6,0,1)</formula>
    </cfRule>
  </conditionalFormatting>
  <conditionalFormatting sqref="W109 W24">
    <cfRule type="expression" dxfId="2406" priority="272" stopIfTrue="1">
      <formula>IF(AK8&gt;7,0,1)</formula>
    </cfRule>
  </conditionalFormatting>
  <conditionalFormatting sqref="Z109 Z24">
    <cfRule type="expression" dxfId="2405" priority="271" stopIfTrue="1">
      <formula>IF(AK8&gt;8,0,1)</formula>
    </cfRule>
  </conditionalFormatting>
  <conditionalFormatting sqref="AC109 AC24">
    <cfRule type="expression" dxfId="2404" priority="270" stopIfTrue="1">
      <formula>IF(AK8&gt;9,0,1)</formula>
    </cfRule>
  </conditionalFormatting>
  <conditionalFormatting sqref="AQ112 AQ27">
    <cfRule type="expression" dxfId="2403" priority="269" stopIfTrue="1">
      <formula>IF($AK9&gt;3,0,1)</formula>
    </cfRule>
  </conditionalFormatting>
  <conditionalFormatting sqref="B21:D21 B106:D106">
    <cfRule type="expression" dxfId="2402" priority="267" stopIfTrue="1">
      <formula>IF(AK8&gt;0,0,1)</formula>
    </cfRule>
  </conditionalFormatting>
  <conditionalFormatting sqref="E21:G21 E106:G106">
    <cfRule type="expression" dxfId="2401" priority="266" stopIfTrue="1">
      <formula>IF(AK8&gt;1,0,1)</formula>
    </cfRule>
  </conditionalFormatting>
  <conditionalFormatting sqref="H21:J21 H106:J106">
    <cfRule type="expression" dxfId="2400" priority="265" stopIfTrue="1">
      <formula>IF(AK8&gt;2,0,1)</formula>
    </cfRule>
  </conditionalFormatting>
  <conditionalFormatting sqref="K106:M106 K21:M21">
    <cfRule type="expression" dxfId="2399" priority="264" stopIfTrue="1">
      <formula>IF(AK8&gt;3,0,1)</formula>
    </cfRule>
  </conditionalFormatting>
  <conditionalFormatting sqref="N106:P106 N21:P21">
    <cfRule type="expression" dxfId="2398" priority="263" stopIfTrue="1">
      <formula>IF(AK8&gt;4,0,1)</formula>
    </cfRule>
  </conditionalFormatting>
  <conditionalFormatting sqref="Q106:S106 Q21:S21">
    <cfRule type="expression" dxfId="2397" priority="262" stopIfTrue="1">
      <formula>IF(AK8&gt;5,0,1)</formula>
    </cfRule>
  </conditionalFormatting>
  <conditionalFormatting sqref="T106:V106 T21:V21">
    <cfRule type="expression" dxfId="2396" priority="261" stopIfTrue="1">
      <formula>IF(AK8&gt;6,0,1)</formula>
    </cfRule>
  </conditionalFormatting>
  <conditionalFormatting sqref="W106:Y106 W21:Y21">
    <cfRule type="expression" dxfId="2395" priority="260" stopIfTrue="1">
      <formula>IF(AK8&gt;7,0,1)</formula>
    </cfRule>
  </conditionalFormatting>
  <conditionalFormatting sqref="Z106:AB106 Z21:AB21">
    <cfRule type="expression" dxfId="2394" priority="259" stopIfTrue="1">
      <formula>IF(AK8&gt;8,0,1)</formula>
    </cfRule>
  </conditionalFormatting>
  <conditionalFormatting sqref="AC106:AE106 AC21:AE21">
    <cfRule type="expression" dxfId="2393" priority="258" stopIfTrue="1">
      <formula>IF(AK8&gt;9,0,1)</formula>
    </cfRule>
  </conditionalFormatting>
  <conditionalFormatting sqref="AG24:AP28 AG109:AP113">
    <cfRule type="cellIs" dxfId="2392" priority="257" stopIfTrue="1" operator="notBetween">
      <formula>-9999</formula>
      <formula>9999</formula>
    </cfRule>
  </conditionalFormatting>
  <conditionalFormatting sqref="AC92 AC7">
    <cfRule type="expression" dxfId="2391" priority="256" stopIfTrue="1">
      <formula>IF($AK$11=0,1,0)</formula>
    </cfRule>
  </conditionalFormatting>
  <conditionalFormatting sqref="B18">
    <cfRule type="expression" dxfId="2390" priority="255" stopIfTrue="1">
      <formula>IF($AK$9&gt;0,0,1)</formula>
    </cfRule>
  </conditionalFormatting>
  <conditionalFormatting sqref="B18">
    <cfRule type="expression" dxfId="2389" priority="253" stopIfTrue="1">
      <formula>IF($AK$9&gt;0,0,1)</formula>
    </cfRule>
  </conditionalFormatting>
  <conditionalFormatting sqref="B20:D20">
    <cfRule type="expression" dxfId="2388" priority="252" stopIfTrue="1">
      <formula>IF(AK8&gt;0,0,1)</formula>
    </cfRule>
  </conditionalFormatting>
  <conditionalFormatting sqref="E20:G20">
    <cfRule type="expression" dxfId="2387" priority="251" stopIfTrue="1">
      <formula>IF(AK8&gt;1,0,1)</formula>
    </cfRule>
  </conditionalFormatting>
  <conditionalFormatting sqref="H20:J20">
    <cfRule type="expression" dxfId="2386" priority="250" stopIfTrue="1">
      <formula>IF(AK8&gt;2,0,1)</formula>
    </cfRule>
  </conditionalFormatting>
  <conditionalFormatting sqref="B21:D21">
    <cfRule type="expression" dxfId="2385" priority="233" stopIfTrue="1">
      <formula>IF(AK8&gt;0,0,1)</formula>
    </cfRule>
  </conditionalFormatting>
  <conditionalFormatting sqref="E21:G21">
    <cfRule type="expression" dxfId="2384" priority="232" stopIfTrue="1">
      <formula>IF(AK8&gt;1,0,1)</formula>
    </cfRule>
  </conditionalFormatting>
  <conditionalFormatting sqref="H21:J21">
    <cfRule type="expression" dxfId="2383" priority="231" stopIfTrue="1">
      <formula>IF(AK8&gt;2,0,1)</formula>
    </cfRule>
  </conditionalFormatting>
  <conditionalFormatting sqref="B105:D105">
    <cfRule type="expression" dxfId="2382" priority="229" stopIfTrue="1">
      <formula>IF(AK93&gt;0,0,1)</formula>
    </cfRule>
  </conditionalFormatting>
  <conditionalFormatting sqref="E105:G105">
    <cfRule type="expression" dxfId="2381" priority="228" stopIfTrue="1">
      <formula>IF(AK93&gt;1,0,1)</formula>
    </cfRule>
  </conditionalFormatting>
  <conditionalFormatting sqref="H105:J105">
    <cfRule type="expression" dxfId="2380" priority="227" stopIfTrue="1">
      <formula>IF(AK93&gt;2,0,1)</formula>
    </cfRule>
  </conditionalFormatting>
  <conditionalFormatting sqref="B106:D106">
    <cfRule type="expression" dxfId="2379" priority="210" stopIfTrue="1">
      <formula>IF(AK93&gt;0,0,1)</formula>
    </cfRule>
  </conditionalFormatting>
  <conditionalFormatting sqref="E106:G106">
    <cfRule type="expression" dxfId="2378" priority="209" stopIfTrue="1">
      <formula>IF(AK93&gt;1,0,1)</formula>
    </cfRule>
  </conditionalFormatting>
  <conditionalFormatting sqref="H106:J106">
    <cfRule type="expression" dxfId="2377" priority="208" stopIfTrue="1">
      <formula>IF(AK93&gt;2,0,1)</formula>
    </cfRule>
  </conditionalFormatting>
  <conditionalFormatting sqref="B18">
    <cfRule type="expression" dxfId="2376" priority="183" stopIfTrue="1">
      <formula>IF($AK$9&gt;0,0,1)</formula>
    </cfRule>
  </conditionalFormatting>
  <conditionalFormatting sqref="B103">
    <cfRule type="expression" dxfId="2375" priority="182" stopIfTrue="1">
      <formula>IF($AK$9&gt;0,0,1)</formula>
    </cfRule>
  </conditionalFormatting>
  <conditionalFormatting sqref="B103">
    <cfRule type="expression" dxfId="2374" priority="181" stopIfTrue="1">
      <formula>IF($AK$9&gt;0,0,1)</formula>
    </cfRule>
  </conditionalFormatting>
  <conditionalFormatting sqref="B103">
    <cfRule type="expression" dxfId="2373" priority="180" stopIfTrue="1">
      <formula>IF($AK$9&gt;0,0,1)</formula>
    </cfRule>
  </conditionalFormatting>
  <conditionalFormatting sqref="B104:D104">
    <cfRule type="expression" dxfId="2372" priority="170" stopIfTrue="1">
      <formula>IF(AK93&gt;0,0,1)</formula>
    </cfRule>
  </conditionalFormatting>
  <conditionalFormatting sqref="E104:G104">
    <cfRule type="expression" dxfId="2371" priority="169" stopIfTrue="1">
      <formula>IF(AK93&gt;1,0,1)</formula>
    </cfRule>
  </conditionalFormatting>
  <conditionalFormatting sqref="H104:J104">
    <cfRule type="expression" dxfId="2370" priority="168" stopIfTrue="1">
      <formula>IF(AK93&gt;2,0,1)</formula>
    </cfRule>
  </conditionalFormatting>
  <conditionalFormatting sqref="B104:D104">
    <cfRule type="expression" dxfId="2369" priority="167" stopIfTrue="1">
      <formula>IF(AK93&gt;0,0,1)</formula>
    </cfRule>
  </conditionalFormatting>
  <conditionalFormatting sqref="E104:G104">
    <cfRule type="expression" dxfId="2368" priority="166" stopIfTrue="1">
      <formula>IF(AK93&gt;1,0,1)</formula>
    </cfRule>
  </conditionalFormatting>
  <conditionalFormatting sqref="H104:J104">
    <cfRule type="expression" dxfId="2367" priority="165" stopIfTrue="1">
      <formula>IF(AK93&gt;2,0,1)</formula>
    </cfRule>
  </conditionalFormatting>
  <conditionalFormatting sqref="B19:D19">
    <cfRule type="expression" dxfId="2366" priority="176" stopIfTrue="1">
      <formula>IF(AK8&gt;0,0,1)</formula>
    </cfRule>
  </conditionalFormatting>
  <conditionalFormatting sqref="E19:G19">
    <cfRule type="expression" dxfId="2365" priority="175" stopIfTrue="1">
      <formula>IF(AK8&gt;1,0,1)</formula>
    </cfRule>
  </conditionalFormatting>
  <conditionalFormatting sqref="H19:J19">
    <cfRule type="expression" dxfId="2364" priority="174" stopIfTrue="1">
      <formula>IF(AK8&gt;2,0,1)</formula>
    </cfRule>
  </conditionalFormatting>
  <conditionalFormatting sqref="B19:D19">
    <cfRule type="expression" dxfId="2363" priority="173" stopIfTrue="1">
      <formula>IF(AK8&gt;0,0,1)</formula>
    </cfRule>
  </conditionalFormatting>
  <conditionalFormatting sqref="E19:G19">
    <cfRule type="expression" dxfId="2362" priority="172" stopIfTrue="1">
      <formula>IF(AK8&gt;1,0,1)</formula>
    </cfRule>
  </conditionalFormatting>
  <conditionalFormatting sqref="H19:J19">
    <cfRule type="expression" dxfId="2361" priority="171" stopIfTrue="1">
      <formula>IF(AK8&gt;2,0,1)</formula>
    </cfRule>
  </conditionalFormatting>
  <conditionalFormatting sqref="E8">
    <cfRule type="expression" dxfId="2360" priority="88" stopIfTrue="1">
      <formula>IF(AK9&gt;0,0,1)</formula>
    </cfRule>
  </conditionalFormatting>
  <conditionalFormatting sqref="E9">
    <cfRule type="expression" dxfId="2359" priority="87" stopIfTrue="1">
      <formula>IF(AK9&gt;0,0,1)</formula>
    </cfRule>
  </conditionalFormatting>
  <conditionalFormatting sqref="E10">
    <cfRule type="expression" dxfId="2358" priority="86" stopIfTrue="1">
      <formula>IF(AK9&gt;1,0,1)</formula>
    </cfRule>
  </conditionalFormatting>
  <conditionalFormatting sqref="E11">
    <cfRule type="expression" dxfId="2357" priority="85" stopIfTrue="1">
      <formula>IF(AK9&gt;1,0,1)</formula>
    </cfRule>
  </conditionalFormatting>
  <conditionalFormatting sqref="E12">
    <cfRule type="expression" dxfId="2356" priority="84" stopIfTrue="1">
      <formula>IF(AK9&gt;2,0,1)</formula>
    </cfRule>
  </conditionalFormatting>
  <conditionalFormatting sqref="E13">
    <cfRule type="expression" dxfId="2355" priority="83" stopIfTrue="1">
      <formula>IF(AK9&gt;2,0,1)</formula>
    </cfRule>
  </conditionalFormatting>
  <conditionalFormatting sqref="E93">
    <cfRule type="expression" dxfId="2354" priority="80" stopIfTrue="1">
      <formula>IF(AK94&gt;0,0,1)</formula>
    </cfRule>
  </conditionalFormatting>
  <conditionalFormatting sqref="E94">
    <cfRule type="expression" dxfId="2353" priority="79" stopIfTrue="1">
      <formula>IF(AK94&gt;0,0,1)</formula>
    </cfRule>
  </conditionalFormatting>
  <conditionalFormatting sqref="E95">
    <cfRule type="expression" dxfId="2352" priority="78" stopIfTrue="1">
      <formula>IF(AK94&gt;1,0,1)</formula>
    </cfRule>
  </conditionalFormatting>
  <conditionalFormatting sqref="E96">
    <cfRule type="expression" dxfId="2351" priority="77" stopIfTrue="1">
      <formula>IF(AK94&gt;1,0,1)</formula>
    </cfRule>
  </conditionalFormatting>
  <conditionalFormatting sqref="E97">
    <cfRule type="expression" dxfId="2350" priority="76" stopIfTrue="1">
      <formula>IF(AK94&gt;2,0,1)</formula>
    </cfRule>
  </conditionalFormatting>
  <conditionalFormatting sqref="E98">
    <cfRule type="expression" dxfId="2349" priority="75" stopIfTrue="1">
      <formula>IF(AK94&gt;2,0,1)</formula>
    </cfRule>
  </conditionalFormatting>
  <conditionalFormatting sqref="E14">
    <cfRule type="expression" dxfId="2348" priority="74" stopIfTrue="1">
      <formula>IF(AK9&gt;3,0,1)</formula>
    </cfRule>
  </conditionalFormatting>
  <conditionalFormatting sqref="E15">
    <cfRule type="expression" dxfId="2347" priority="73" stopIfTrue="1">
      <formula>IF(AK9&gt;3,0,1)</formula>
    </cfRule>
  </conditionalFormatting>
  <conditionalFormatting sqref="E99">
    <cfRule type="expression" dxfId="2346" priority="72" stopIfTrue="1">
      <formula>IF(AK94&gt;3,0,1)</formula>
    </cfRule>
  </conditionalFormatting>
  <conditionalFormatting sqref="E100">
    <cfRule type="expression" dxfId="2345" priority="71" stopIfTrue="1">
      <formula>IF(AK94&gt;3,0,1)</formula>
    </cfRule>
  </conditionalFormatting>
  <conditionalFormatting sqref="E22:G22">
    <cfRule type="expression" dxfId="2344" priority="70" stopIfTrue="1">
      <formula>IF(AK8&gt;1,0,1)</formula>
    </cfRule>
  </conditionalFormatting>
  <conditionalFormatting sqref="H22:J22">
    <cfRule type="expression" dxfId="2343" priority="69" stopIfTrue="1">
      <formula>IF(AK8&gt;2,0,1)</formula>
    </cfRule>
  </conditionalFormatting>
  <conditionalFormatting sqref="K22:M22">
    <cfRule type="expression" dxfId="2342" priority="68" stopIfTrue="1">
      <formula>IF(AK8&gt;3,0,1)</formula>
    </cfRule>
  </conditionalFormatting>
  <conditionalFormatting sqref="N22:P22">
    <cfRule type="expression" dxfId="2341" priority="67" stopIfTrue="1">
      <formula>IF(AK8&gt;4,0,1)</formula>
    </cfRule>
  </conditionalFormatting>
  <conditionalFormatting sqref="Q22:S22">
    <cfRule type="expression" dxfId="2340" priority="66" stopIfTrue="1">
      <formula>IF(AK8&gt;5,0,1)</formula>
    </cfRule>
  </conditionalFormatting>
  <conditionalFormatting sqref="B24">
    <cfRule type="expression" dxfId="2339" priority="65" stopIfTrue="1">
      <formula>IF(AK8&gt;0,0,1)</formula>
    </cfRule>
  </conditionalFormatting>
  <conditionalFormatting sqref="C24">
    <cfRule type="expression" dxfId="2338" priority="64" stopIfTrue="1">
      <formula>IF(AK8&gt;0,0,1)</formula>
    </cfRule>
  </conditionalFormatting>
  <conditionalFormatting sqref="D24">
    <cfRule type="expression" dxfId="2337" priority="63" stopIfTrue="1">
      <formula>IF(AK8&gt;0,0,1)</formula>
    </cfRule>
  </conditionalFormatting>
  <conditionalFormatting sqref="E23:G23">
    <cfRule type="expression" dxfId="2336" priority="62" stopIfTrue="1">
      <formula>IF(AK8&gt;1,0,1)</formula>
    </cfRule>
  </conditionalFormatting>
  <conditionalFormatting sqref="F24">
    <cfRule type="expression" dxfId="2335" priority="61" stopIfTrue="1">
      <formula>IF(AK8&gt;1,0,1)</formula>
    </cfRule>
  </conditionalFormatting>
  <conditionalFormatting sqref="G24">
    <cfRule type="expression" dxfId="2334" priority="60" stopIfTrue="1">
      <formula>IF(AK8&gt;1,0,1)</formula>
    </cfRule>
  </conditionalFormatting>
  <conditionalFormatting sqref="H23:J23">
    <cfRule type="expression" dxfId="2333" priority="59" stopIfTrue="1">
      <formula>IF(AK8&gt;2,0,1)</formula>
    </cfRule>
  </conditionalFormatting>
  <conditionalFormatting sqref="I24">
    <cfRule type="expression" dxfId="2332" priority="58" stopIfTrue="1">
      <formula>IF(AK8&gt;2,0,1)</formula>
    </cfRule>
  </conditionalFormatting>
  <conditionalFormatting sqref="J24">
    <cfRule type="expression" dxfId="2331" priority="57" stopIfTrue="1">
      <formula>IF(AK8&gt;2,0,1)</formula>
    </cfRule>
  </conditionalFormatting>
  <conditionalFormatting sqref="K23:M23">
    <cfRule type="expression" dxfId="2330" priority="56" stopIfTrue="1">
      <formula>IF(AK8&gt;3,0,1)</formula>
    </cfRule>
  </conditionalFormatting>
  <conditionalFormatting sqref="L24">
    <cfRule type="expression" dxfId="2329" priority="55" stopIfTrue="1">
      <formula>IF(AK8&gt;3,0,1)</formula>
    </cfRule>
  </conditionalFormatting>
  <conditionalFormatting sqref="M24">
    <cfRule type="expression" dxfId="2328" priority="54" stopIfTrue="1">
      <formula>IF(AK8&gt;3,0,1)</formula>
    </cfRule>
  </conditionalFormatting>
  <conditionalFormatting sqref="N23:P23">
    <cfRule type="expression" dxfId="2327" priority="53" stopIfTrue="1">
      <formula>IF(AK8&gt;4,0,1)</formula>
    </cfRule>
  </conditionalFormatting>
  <conditionalFormatting sqref="O24">
    <cfRule type="expression" dxfId="2326" priority="52" stopIfTrue="1">
      <formula>IF(AK8&gt;4,0,1)</formula>
    </cfRule>
  </conditionalFormatting>
  <conditionalFormatting sqref="P24">
    <cfRule type="expression" dxfId="2325" priority="51" stopIfTrue="1">
      <formula>IF(AK8&gt;4,0,1)</formula>
    </cfRule>
  </conditionalFormatting>
  <conditionalFormatting sqref="Q23:S23">
    <cfRule type="expression" dxfId="2324" priority="50" stopIfTrue="1">
      <formula>IF(AK8&gt;5,0,1)</formula>
    </cfRule>
  </conditionalFormatting>
  <conditionalFormatting sqref="R24">
    <cfRule type="expression" dxfId="2323" priority="49" stopIfTrue="1">
      <formula>IF(AK8&gt;5,0,1)</formula>
    </cfRule>
  </conditionalFormatting>
  <conditionalFormatting sqref="S24">
    <cfRule type="expression" dxfId="2322" priority="48" stopIfTrue="1">
      <formula>IF(AK8&gt;5,0,1)</formula>
    </cfRule>
  </conditionalFormatting>
  <conditionalFormatting sqref="B25:D25">
    <cfRule type="expression" dxfId="2321" priority="47" stopIfTrue="1">
      <formula>IF($AK8&gt;0,0,1)</formula>
    </cfRule>
  </conditionalFormatting>
  <conditionalFormatting sqref="H25:J25">
    <cfRule type="expression" dxfId="2320" priority="46" stopIfTrue="1">
      <formula>IF($AK8&gt;2,0,1)</formula>
    </cfRule>
  </conditionalFormatting>
  <conditionalFormatting sqref="K25:M25">
    <cfRule type="expression" dxfId="2319" priority="45" stopIfTrue="1">
      <formula>IF($AK8&gt;3,0,1)</formula>
    </cfRule>
  </conditionalFormatting>
  <conditionalFormatting sqref="N25:P25">
    <cfRule type="expression" dxfId="2318" priority="44" stopIfTrue="1">
      <formula>IF($AK8&gt;4,0,1)</formula>
    </cfRule>
  </conditionalFormatting>
  <conditionalFormatting sqref="Q25:S25">
    <cfRule type="expression" dxfId="2317" priority="43" stopIfTrue="1">
      <formula>IF($AK8&gt;5,0,1)</formula>
    </cfRule>
  </conditionalFormatting>
  <conditionalFormatting sqref="E24">
    <cfRule type="expression" dxfId="2316" priority="42" stopIfTrue="1">
      <formula>IF(AK8&gt;1,0,1)</formula>
    </cfRule>
  </conditionalFormatting>
  <conditionalFormatting sqref="H24">
    <cfRule type="expression" dxfId="2315" priority="41" stopIfTrue="1">
      <formula>IF(AK8&gt;2,0,1)</formula>
    </cfRule>
  </conditionalFormatting>
  <conditionalFormatting sqref="K24">
    <cfRule type="expression" dxfId="2314" priority="40" stopIfTrue="1">
      <formula>IF(AK8&gt;3,0,1)</formula>
    </cfRule>
  </conditionalFormatting>
  <conditionalFormatting sqref="N24">
    <cfRule type="expression" dxfId="2313" priority="39" stopIfTrue="1">
      <formula>IF(AK8&gt;4,0,1)</formula>
    </cfRule>
  </conditionalFormatting>
  <conditionalFormatting sqref="Q24">
    <cfRule type="expression" dxfId="2312" priority="38" stopIfTrue="1">
      <formula>IF(AK8&gt;5,0,1)</formula>
    </cfRule>
  </conditionalFormatting>
  <conditionalFormatting sqref="E25:G25">
    <cfRule type="expression" dxfId="2311" priority="37" stopIfTrue="1">
      <formula>IF($AK8&gt;1,0,1)</formula>
    </cfRule>
  </conditionalFormatting>
  <conditionalFormatting sqref="B22:D23">
    <cfRule type="cellIs" dxfId="2310" priority="36" stopIfTrue="1" operator="equal">
      <formula>99</formula>
    </cfRule>
  </conditionalFormatting>
  <conditionalFormatting sqref="E107:G107">
    <cfRule type="expression" dxfId="2309" priority="35" stopIfTrue="1">
      <formula>IF(AK93&gt;1,0,1)</formula>
    </cfRule>
  </conditionalFormatting>
  <conditionalFormatting sqref="H107:J107">
    <cfRule type="expression" dxfId="2308" priority="34" stopIfTrue="1">
      <formula>IF(AK93&gt;2,0,1)</formula>
    </cfRule>
  </conditionalFormatting>
  <conditionalFormatting sqref="K107:M107">
    <cfRule type="expression" dxfId="2307" priority="33" stopIfTrue="1">
      <formula>IF(AK93&gt;3,0,1)</formula>
    </cfRule>
  </conditionalFormatting>
  <conditionalFormatting sqref="N107:P107">
    <cfRule type="expression" dxfId="2306" priority="32" stopIfTrue="1">
      <formula>IF(AK93&gt;4,0,1)</formula>
    </cfRule>
  </conditionalFormatting>
  <conditionalFormatting sqref="Q107:S107">
    <cfRule type="expression" dxfId="2305" priority="31" stopIfTrue="1">
      <formula>IF(AK93&gt;5,0,1)</formula>
    </cfRule>
  </conditionalFormatting>
  <conditionalFormatting sqref="B109">
    <cfRule type="expression" dxfId="2304" priority="30" stopIfTrue="1">
      <formula>IF(AK93&gt;0,0,1)</formula>
    </cfRule>
  </conditionalFormatting>
  <conditionalFormatting sqref="C109">
    <cfRule type="expression" dxfId="2303" priority="29" stopIfTrue="1">
      <formula>IF(AK93&gt;0,0,1)</formula>
    </cfRule>
  </conditionalFormatting>
  <conditionalFormatting sqref="D109">
    <cfRule type="expression" dxfId="2302" priority="28" stopIfTrue="1">
      <formula>IF(AK93&gt;0,0,1)</formula>
    </cfRule>
  </conditionalFormatting>
  <conditionalFormatting sqref="E108:G108">
    <cfRule type="expression" dxfId="2301" priority="27" stopIfTrue="1">
      <formula>IF(AK93&gt;1,0,1)</formula>
    </cfRule>
  </conditionalFormatting>
  <conditionalFormatting sqref="F109">
    <cfRule type="expression" dxfId="2300" priority="26" stopIfTrue="1">
      <formula>IF(AK93&gt;1,0,1)</formula>
    </cfRule>
  </conditionalFormatting>
  <conditionalFormatting sqref="G109">
    <cfRule type="expression" dxfId="2299" priority="25" stopIfTrue="1">
      <formula>IF(AK93&gt;1,0,1)</formula>
    </cfRule>
  </conditionalFormatting>
  <conditionalFormatting sqref="H108:J108">
    <cfRule type="expression" dxfId="2298" priority="24" stopIfTrue="1">
      <formula>IF(AK93&gt;2,0,1)</formula>
    </cfRule>
  </conditionalFormatting>
  <conditionalFormatting sqref="I109">
    <cfRule type="expression" dxfId="2297" priority="23" stopIfTrue="1">
      <formula>IF(AK93&gt;2,0,1)</formula>
    </cfRule>
  </conditionalFormatting>
  <conditionalFormatting sqref="J109">
    <cfRule type="expression" dxfId="2296" priority="22" stopIfTrue="1">
      <formula>IF(AK93&gt;2,0,1)</formula>
    </cfRule>
  </conditionalFormatting>
  <conditionalFormatting sqref="K108:M108">
    <cfRule type="expression" dxfId="2295" priority="21" stopIfTrue="1">
      <formula>IF(AK93&gt;3,0,1)</formula>
    </cfRule>
  </conditionalFormatting>
  <conditionalFormatting sqref="L109">
    <cfRule type="expression" dxfId="2294" priority="20" stopIfTrue="1">
      <formula>IF(AK93&gt;3,0,1)</formula>
    </cfRule>
  </conditionalFormatting>
  <conditionalFormatting sqref="M109">
    <cfRule type="expression" dxfId="2293" priority="19" stopIfTrue="1">
      <formula>IF(AK93&gt;3,0,1)</formula>
    </cfRule>
  </conditionalFormatting>
  <conditionalFormatting sqref="N108:P108">
    <cfRule type="expression" dxfId="2292" priority="18" stopIfTrue="1">
      <formula>IF(AK93&gt;4,0,1)</formula>
    </cfRule>
  </conditionalFormatting>
  <conditionalFormatting sqref="O109">
    <cfRule type="expression" dxfId="2291" priority="17" stopIfTrue="1">
      <formula>IF(AK93&gt;4,0,1)</formula>
    </cfRule>
  </conditionalFormatting>
  <conditionalFormatting sqref="P109">
    <cfRule type="expression" dxfId="2290" priority="16" stopIfTrue="1">
      <formula>IF(AK93&gt;4,0,1)</formula>
    </cfRule>
  </conditionalFormatting>
  <conditionalFormatting sqref="Q108:S108">
    <cfRule type="expression" dxfId="2289" priority="15" stopIfTrue="1">
      <formula>IF(AK93&gt;5,0,1)</formula>
    </cfRule>
  </conditionalFormatting>
  <conditionalFormatting sqref="R109">
    <cfRule type="expression" dxfId="2288" priority="14" stopIfTrue="1">
      <formula>IF(AK93&gt;5,0,1)</formula>
    </cfRule>
  </conditionalFormatting>
  <conditionalFormatting sqref="S109">
    <cfRule type="expression" dxfId="2287" priority="13" stopIfTrue="1">
      <formula>IF(AK93&gt;5,0,1)</formula>
    </cfRule>
  </conditionalFormatting>
  <conditionalFormatting sqref="B110:D110">
    <cfRule type="expression" dxfId="2286" priority="12" stopIfTrue="1">
      <formula>IF($AK93&gt;0,0,1)</formula>
    </cfRule>
  </conditionalFormatting>
  <conditionalFormatting sqref="H110:J110">
    <cfRule type="expression" dxfId="2285" priority="11" stopIfTrue="1">
      <formula>IF($AK93&gt;2,0,1)</formula>
    </cfRule>
  </conditionalFormatting>
  <conditionalFormatting sqref="K110:M110">
    <cfRule type="expression" dxfId="2284" priority="10" stopIfTrue="1">
      <formula>IF($AK93&gt;3,0,1)</formula>
    </cfRule>
  </conditionalFormatting>
  <conditionalFormatting sqref="N110:P110">
    <cfRule type="expression" dxfId="2283" priority="9" stopIfTrue="1">
      <formula>IF($AK93&gt;4,0,1)</formula>
    </cfRule>
  </conditionalFormatting>
  <conditionalFormatting sqref="Q110:S110">
    <cfRule type="expression" dxfId="2282" priority="8" stopIfTrue="1">
      <formula>IF($AK93&gt;5,0,1)</formula>
    </cfRule>
  </conditionalFormatting>
  <conditionalFormatting sqref="E109">
    <cfRule type="expression" dxfId="2281" priority="7" stopIfTrue="1">
      <formula>IF(AK93&gt;1,0,1)</formula>
    </cfRule>
  </conditionalFormatting>
  <conditionalFormatting sqref="H109">
    <cfRule type="expression" dxfId="2280" priority="6" stopIfTrue="1">
      <formula>IF(AK93&gt;2,0,1)</formula>
    </cfRule>
  </conditionalFormatting>
  <conditionalFormatting sqref="K109">
    <cfRule type="expression" dxfId="2279" priority="5" stopIfTrue="1">
      <formula>IF(AK93&gt;3,0,1)</formula>
    </cfRule>
  </conditionalFormatting>
  <conditionalFormatting sqref="N109">
    <cfRule type="expression" dxfId="2278" priority="4" stopIfTrue="1">
      <formula>IF(AK93&gt;4,0,1)</formula>
    </cfRule>
  </conditionalFormatting>
  <conditionalFormatting sqref="Q109">
    <cfRule type="expression" dxfId="2277" priority="3" stopIfTrue="1">
      <formula>IF(AK93&gt;5,0,1)</formula>
    </cfRule>
  </conditionalFormatting>
  <conditionalFormatting sqref="E110:G110">
    <cfRule type="expression" dxfId="2276" priority="2" stopIfTrue="1">
      <formula>IF($AK93&gt;1,0,1)</formula>
    </cfRule>
  </conditionalFormatting>
  <conditionalFormatting sqref="B107:D108">
    <cfRule type="cellIs" dxfId="2275" priority="1" stopIfTrue="1" operator="equal">
      <formula>99</formula>
    </cfRule>
  </conditionalFormatting>
  <pageMargins left="0.25" right="0.25" top="0.25" bottom="0.25" header="0" footer="0"/>
  <pageSetup scale="80" fitToHeight="8" orientation="landscape" r:id="rId1"/>
  <headerFooter alignWithMargins="0"/>
  <rowBreaks count="1" manualBreakCount="1">
    <brk id="90" max="42" man="1"/>
  </rowBreaks>
  <drawing r:id="rId2"/>
  <legacyDrawing r:id="rId3"/>
  <controls>
    <mc:AlternateContent xmlns:mc="http://schemas.openxmlformats.org/markup-compatibility/2006">
      <mc:Choice Requires="x14">
        <control shapeId="2049" r:id="rId4" name="Pool4RecalcFinish">
          <controlPr defaultSize="0" autoLine="0" autoPict="0" r:id="rId5">
            <anchor moveWithCells="1" sizeWithCells="1">
              <from>
                <xdr:col>36</xdr:col>
                <xdr:colOff>114300</xdr:colOff>
                <xdr:row>174</xdr:row>
                <xdr:rowOff>0</xdr:rowOff>
              </from>
              <to>
                <xdr:col>41</xdr:col>
                <xdr:colOff>228600</xdr:colOff>
                <xdr:row>174</xdr:row>
                <xdr:rowOff>0</xdr:rowOff>
              </to>
            </anchor>
          </controlPr>
        </control>
      </mc:Choice>
      <mc:Fallback>
        <control shapeId="2049" r:id="rId4" name="Pool4RecalcFinish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>
    <tabColor rgb="FFFF0000"/>
  </sheetPr>
  <dimension ref="A1:BA174"/>
  <sheetViews>
    <sheetView zoomScaleNormal="100" workbookViewId="0">
      <selection activeCell="AZ8" sqref="AZ8"/>
    </sheetView>
  </sheetViews>
  <sheetFormatPr defaultColWidth="8.88671875" defaultRowHeight="13.2" x14ac:dyDescent="0.25"/>
  <cols>
    <col min="1" max="1" width="8.88671875" style="4"/>
    <col min="2" max="2" width="3.6640625" style="4" customWidth="1"/>
    <col min="3" max="3" width="2.33203125" style="4" customWidth="1"/>
    <col min="4" max="5" width="3.6640625" style="4" customWidth="1"/>
    <col min="6" max="6" width="2.33203125" style="4" customWidth="1"/>
    <col min="7" max="8" width="3.6640625" style="4" customWidth="1"/>
    <col min="9" max="9" width="2.33203125" style="4" customWidth="1"/>
    <col min="10" max="11" width="3.6640625" style="4" customWidth="1"/>
    <col min="12" max="12" width="2.33203125" style="4" customWidth="1"/>
    <col min="13" max="14" width="3.6640625" style="4" customWidth="1"/>
    <col min="15" max="15" width="2.33203125" style="4" customWidth="1"/>
    <col min="16" max="17" width="3.6640625" style="4" customWidth="1"/>
    <col min="18" max="18" width="2.33203125" style="4" customWidth="1"/>
    <col min="19" max="20" width="3.6640625" style="4" customWidth="1"/>
    <col min="21" max="21" width="2.33203125" style="4" customWidth="1"/>
    <col min="22" max="23" width="3.6640625" style="4" customWidth="1"/>
    <col min="24" max="24" width="2.33203125" style="4" customWidth="1"/>
    <col min="25" max="26" width="3.6640625" style="4" customWidth="1"/>
    <col min="27" max="27" width="2.33203125" style="4" customWidth="1"/>
    <col min="28" max="29" width="3.6640625" style="4" customWidth="1"/>
    <col min="30" max="30" width="2.33203125" style="4" customWidth="1"/>
    <col min="31" max="31" width="3.6640625" style="4" customWidth="1"/>
    <col min="32" max="32" width="9.6640625" style="4" customWidth="1"/>
    <col min="33" max="42" width="3.6640625" style="4" customWidth="1"/>
    <col min="43" max="43" width="11" style="4" customWidth="1"/>
    <col min="44" max="45" width="8.88671875" style="4"/>
    <col min="46" max="47" width="20.44140625" style="4" bestFit="1" customWidth="1"/>
    <col min="48" max="48" width="11.44140625" style="4" bestFit="1" customWidth="1"/>
    <col min="49" max="51" width="8.88671875" style="4"/>
    <col min="52" max="52" width="24.5546875" style="4" bestFit="1" customWidth="1"/>
    <col min="53" max="53" width="3" style="4" bestFit="1" customWidth="1"/>
    <col min="54" max="257" width="8.88671875" style="4"/>
    <col min="258" max="258" width="3.6640625" style="4" customWidth="1"/>
    <col min="259" max="259" width="2.33203125" style="4" customWidth="1"/>
    <col min="260" max="261" width="3.6640625" style="4" customWidth="1"/>
    <col min="262" max="262" width="2.33203125" style="4" customWidth="1"/>
    <col min="263" max="264" width="3.6640625" style="4" customWidth="1"/>
    <col min="265" max="265" width="2.33203125" style="4" customWidth="1"/>
    <col min="266" max="267" width="3.6640625" style="4" customWidth="1"/>
    <col min="268" max="268" width="2.33203125" style="4" customWidth="1"/>
    <col min="269" max="270" width="3.6640625" style="4" customWidth="1"/>
    <col min="271" max="271" width="2.33203125" style="4" customWidth="1"/>
    <col min="272" max="273" width="3.6640625" style="4" customWidth="1"/>
    <col min="274" max="274" width="2.33203125" style="4" customWidth="1"/>
    <col min="275" max="276" width="3.6640625" style="4" customWidth="1"/>
    <col min="277" max="277" width="2.33203125" style="4" customWidth="1"/>
    <col min="278" max="279" width="3.6640625" style="4" customWidth="1"/>
    <col min="280" max="280" width="2.33203125" style="4" customWidth="1"/>
    <col min="281" max="282" width="3.6640625" style="4" customWidth="1"/>
    <col min="283" max="283" width="2.33203125" style="4" customWidth="1"/>
    <col min="284" max="285" width="3.6640625" style="4" customWidth="1"/>
    <col min="286" max="286" width="2.33203125" style="4" customWidth="1"/>
    <col min="287" max="287" width="3.6640625" style="4" customWidth="1"/>
    <col min="288" max="288" width="9.6640625" style="4" customWidth="1"/>
    <col min="289" max="298" width="3.6640625" style="4" customWidth="1"/>
    <col min="299" max="299" width="11" style="4" customWidth="1"/>
    <col min="300" max="513" width="8.88671875" style="4"/>
    <col min="514" max="514" width="3.6640625" style="4" customWidth="1"/>
    <col min="515" max="515" width="2.33203125" style="4" customWidth="1"/>
    <col min="516" max="517" width="3.6640625" style="4" customWidth="1"/>
    <col min="518" max="518" width="2.33203125" style="4" customWidth="1"/>
    <col min="519" max="520" width="3.6640625" style="4" customWidth="1"/>
    <col min="521" max="521" width="2.33203125" style="4" customWidth="1"/>
    <col min="522" max="523" width="3.6640625" style="4" customWidth="1"/>
    <col min="524" max="524" width="2.33203125" style="4" customWidth="1"/>
    <col min="525" max="526" width="3.6640625" style="4" customWidth="1"/>
    <col min="527" max="527" width="2.33203125" style="4" customWidth="1"/>
    <col min="528" max="529" width="3.6640625" style="4" customWidth="1"/>
    <col min="530" max="530" width="2.33203125" style="4" customWidth="1"/>
    <col min="531" max="532" width="3.6640625" style="4" customWidth="1"/>
    <col min="533" max="533" width="2.33203125" style="4" customWidth="1"/>
    <col min="534" max="535" width="3.6640625" style="4" customWidth="1"/>
    <col min="536" max="536" width="2.33203125" style="4" customWidth="1"/>
    <col min="537" max="538" width="3.6640625" style="4" customWidth="1"/>
    <col min="539" max="539" width="2.33203125" style="4" customWidth="1"/>
    <col min="540" max="541" width="3.6640625" style="4" customWidth="1"/>
    <col min="542" max="542" width="2.33203125" style="4" customWidth="1"/>
    <col min="543" max="543" width="3.6640625" style="4" customWidth="1"/>
    <col min="544" max="544" width="9.6640625" style="4" customWidth="1"/>
    <col min="545" max="554" width="3.6640625" style="4" customWidth="1"/>
    <col min="555" max="555" width="11" style="4" customWidth="1"/>
    <col min="556" max="769" width="8.88671875" style="4"/>
    <col min="770" max="770" width="3.6640625" style="4" customWidth="1"/>
    <col min="771" max="771" width="2.33203125" style="4" customWidth="1"/>
    <col min="772" max="773" width="3.6640625" style="4" customWidth="1"/>
    <col min="774" max="774" width="2.33203125" style="4" customWidth="1"/>
    <col min="775" max="776" width="3.6640625" style="4" customWidth="1"/>
    <col min="777" max="777" width="2.33203125" style="4" customWidth="1"/>
    <col min="778" max="779" width="3.6640625" style="4" customWidth="1"/>
    <col min="780" max="780" width="2.33203125" style="4" customWidth="1"/>
    <col min="781" max="782" width="3.6640625" style="4" customWidth="1"/>
    <col min="783" max="783" width="2.33203125" style="4" customWidth="1"/>
    <col min="784" max="785" width="3.6640625" style="4" customWidth="1"/>
    <col min="786" max="786" width="2.33203125" style="4" customWidth="1"/>
    <col min="787" max="788" width="3.6640625" style="4" customWidth="1"/>
    <col min="789" max="789" width="2.33203125" style="4" customWidth="1"/>
    <col min="790" max="791" width="3.6640625" style="4" customWidth="1"/>
    <col min="792" max="792" width="2.33203125" style="4" customWidth="1"/>
    <col min="793" max="794" width="3.6640625" style="4" customWidth="1"/>
    <col min="795" max="795" width="2.33203125" style="4" customWidth="1"/>
    <col min="796" max="797" width="3.6640625" style="4" customWidth="1"/>
    <col min="798" max="798" width="2.33203125" style="4" customWidth="1"/>
    <col min="799" max="799" width="3.6640625" style="4" customWidth="1"/>
    <col min="800" max="800" width="9.6640625" style="4" customWidth="1"/>
    <col min="801" max="810" width="3.6640625" style="4" customWidth="1"/>
    <col min="811" max="811" width="11" style="4" customWidth="1"/>
    <col min="812" max="1025" width="8.88671875" style="4"/>
    <col min="1026" max="1026" width="3.6640625" style="4" customWidth="1"/>
    <col min="1027" max="1027" width="2.33203125" style="4" customWidth="1"/>
    <col min="1028" max="1029" width="3.6640625" style="4" customWidth="1"/>
    <col min="1030" max="1030" width="2.33203125" style="4" customWidth="1"/>
    <col min="1031" max="1032" width="3.6640625" style="4" customWidth="1"/>
    <col min="1033" max="1033" width="2.33203125" style="4" customWidth="1"/>
    <col min="1034" max="1035" width="3.6640625" style="4" customWidth="1"/>
    <col min="1036" max="1036" width="2.33203125" style="4" customWidth="1"/>
    <col min="1037" max="1038" width="3.6640625" style="4" customWidth="1"/>
    <col min="1039" max="1039" width="2.33203125" style="4" customWidth="1"/>
    <col min="1040" max="1041" width="3.6640625" style="4" customWidth="1"/>
    <col min="1042" max="1042" width="2.33203125" style="4" customWidth="1"/>
    <col min="1043" max="1044" width="3.6640625" style="4" customWidth="1"/>
    <col min="1045" max="1045" width="2.33203125" style="4" customWidth="1"/>
    <col min="1046" max="1047" width="3.6640625" style="4" customWidth="1"/>
    <col min="1048" max="1048" width="2.33203125" style="4" customWidth="1"/>
    <col min="1049" max="1050" width="3.6640625" style="4" customWidth="1"/>
    <col min="1051" max="1051" width="2.33203125" style="4" customWidth="1"/>
    <col min="1052" max="1053" width="3.6640625" style="4" customWidth="1"/>
    <col min="1054" max="1054" width="2.33203125" style="4" customWidth="1"/>
    <col min="1055" max="1055" width="3.6640625" style="4" customWidth="1"/>
    <col min="1056" max="1056" width="9.6640625" style="4" customWidth="1"/>
    <col min="1057" max="1066" width="3.6640625" style="4" customWidth="1"/>
    <col min="1067" max="1067" width="11" style="4" customWidth="1"/>
    <col min="1068" max="1281" width="8.88671875" style="4"/>
    <col min="1282" max="1282" width="3.6640625" style="4" customWidth="1"/>
    <col min="1283" max="1283" width="2.33203125" style="4" customWidth="1"/>
    <col min="1284" max="1285" width="3.6640625" style="4" customWidth="1"/>
    <col min="1286" max="1286" width="2.33203125" style="4" customWidth="1"/>
    <col min="1287" max="1288" width="3.6640625" style="4" customWidth="1"/>
    <col min="1289" max="1289" width="2.33203125" style="4" customWidth="1"/>
    <col min="1290" max="1291" width="3.6640625" style="4" customWidth="1"/>
    <col min="1292" max="1292" width="2.33203125" style="4" customWidth="1"/>
    <col min="1293" max="1294" width="3.6640625" style="4" customWidth="1"/>
    <col min="1295" max="1295" width="2.33203125" style="4" customWidth="1"/>
    <col min="1296" max="1297" width="3.6640625" style="4" customWidth="1"/>
    <col min="1298" max="1298" width="2.33203125" style="4" customWidth="1"/>
    <col min="1299" max="1300" width="3.6640625" style="4" customWidth="1"/>
    <col min="1301" max="1301" width="2.33203125" style="4" customWidth="1"/>
    <col min="1302" max="1303" width="3.6640625" style="4" customWidth="1"/>
    <col min="1304" max="1304" width="2.33203125" style="4" customWidth="1"/>
    <col min="1305" max="1306" width="3.6640625" style="4" customWidth="1"/>
    <col min="1307" max="1307" width="2.33203125" style="4" customWidth="1"/>
    <col min="1308" max="1309" width="3.6640625" style="4" customWidth="1"/>
    <col min="1310" max="1310" width="2.33203125" style="4" customWidth="1"/>
    <col min="1311" max="1311" width="3.6640625" style="4" customWidth="1"/>
    <col min="1312" max="1312" width="9.6640625" style="4" customWidth="1"/>
    <col min="1313" max="1322" width="3.6640625" style="4" customWidth="1"/>
    <col min="1323" max="1323" width="11" style="4" customWidth="1"/>
    <col min="1324" max="1537" width="8.88671875" style="4"/>
    <col min="1538" max="1538" width="3.6640625" style="4" customWidth="1"/>
    <col min="1539" max="1539" width="2.33203125" style="4" customWidth="1"/>
    <col min="1540" max="1541" width="3.6640625" style="4" customWidth="1"/>
    <col min="1542" max="1542" width="2.33203125" style="4" customWidth="1"/>
    <col min="1543" max="1544" width="3.6640625" style="4" customWidth="1"/>
    <col min="1545" max="1545" width="2.33203125" style="4" customWidth="1"/>
    <col min="1546" max="1547" width="3.6640625" style="4" customWidth="1"/>
    <col min="1548" max="1548" width="2.33203125" style="4" customWidth="1"/>
    <col min="1549" max="1550" width="3.6640625" style="4" customWidth="1"/>
    <col min="1551" max="1551" width="2.33203125" style="4" customWidth="1"/>
    <col min="1552" max="1553" width="3.6640625" style="4" customWidth="1"/>
    <col min="1554" max="1554" width="2.33203125" style="4" customWidth="1"/>
    <col min="1555" max="1556" width="3.6640625" style="4" customWidth="1"/>
    <col min="1557" max="1557" width="2.33203125" style="4" customWidth="1"/>
    <col min="1558" max="1559" width="3.6640625" style="4" customWidth="1"/>
    <col min="1560" max="1560" width="2.33203125" style="4" customWidth="1"/>
    <col min="1561" max="1562" width="3.6640625" style="4" customWidth="1"/>
    <col min="1563" max="1563" width="2.33203125" style="4" customWidth="1"/>
    <col min="1564" max="1565" width="3.6640625" style="4" customWidth="1"/>
    <col min="1566" max="1566" width="2.33203125" style="4" customWidth="1"/>
    <col min="1567" max="1567" width="3.6640625" style="4" customWidth="1"/>
    <col min="1568" max="1568" width="9.6640625" style="4" customWidth="1"/>
    <col min="1569" max="1578" width="3.6640625" style="4" customWidth="1"/>
    <col min="1579" max="1579" width="11" style="4" customWidth="1"/>
    <col min="1580" max="1793" width="8.88671875" style="4"/>
    <col min="1794" max="1794" width="3.6640625" style="4" customWidth="1"/>
    <col min="1795" max="1795" width="2.33203125" style="4" customWidth="1"/>
    <col min="1796" max="1797" width="3.6640625" style="4" customWidth="1"/>
    <col min="1798" max="1798" width="2.33203125" style="4" customWidth="1"/>
    <col min="1799" max="1800" width="3.6640625" style="4" customWidth="1"/>
    <col min="1801" max="1801" width="2.33203125" style="4" customWidth="1"/>
    <col min="1802" max="1803" width="3.6640625" style="4" customWidth="1"/>
    <col min="1804" max="1804" width="2.33203125" style="4" customWidth="1"/>
    <col min="1805" max="1806" width="3.6640625" style="4" customWidth="1"/>
    <col min="1807" max="1807" width="2.33203125" style="4" customWidth="1"/>
    <col min="1808" max="1809" width="3.6640625" style="4" customWidth="1"/>
    <col min="1810" max="1810" width="2.33203125" style="4" customWidth="1"/>
    <col min="1811" max="1812" width="3.6640625" style="4" customWidth="1"/>
    <col min="1813" max="1813" width="2.33203125" style="4" customWidth="1"/>
    <col min="1814" max="1815" width="3.6640625" style="4" customWidth="1"/>
    <col min="1816" max="1816" width="2.33203125" style="4" customWidth="1"/>
    <col min="1817" max="1818" width="3.6640625" style="4" customWidth="1"/>
    <col min="1819" max="1819" width="2.33203125" style="4" customWidth="1"/>
    <col min="1820" max="1821" width="3.6640625" style="4" customWidth="1"/>
    <col min="1822" max="1822" width="2.33203125" style="4" customWidth="1"/>
    <col min="1823" max="1823" width="3.6640625" style="4" customWidth="1"/>
    <col min="1824" max="1824" width="9.6640625" style="4" customWidth="1"/>
    <col min="1825" max="1834" width="3.6640625" style="4" customWidth="1"/>
    <col min="1835" max="1835" width="11" style="4" customWidth="1"/>
    <col min="1836" max="2049" width="8.88671875" style="4"/>
    <col min="2050" max="2050" width="3.6640625" style="4" customWidth="1"/>
    <col min="2051" max="2051" width="2.33203125" style="4" customWidth="1"/>
    <col min="2052" max="2053" width="3.6640625" style="4" customWidth="1"/>
    <col min="2054" max="2054" width="2.33203125" style="4" customWidth="1"/>
    <col min="2055" max="2056" width="3.6640625" style="4" customWidth="1"/>
    <col min="2057" max="2057" width="2.33203125" style="4" customWidth="1"/>
    <col min="2058" max="2059" width="3.6640625" style="4" customWidth="1"/>
    <col min="2060" max="2060" width="2.33203125" style="4" customWidth="1"/>
    <col min="2061" max="2062" width="3.6640625" style="4" customWidth="1"/>
    <col min="2063" max="2063" width="2.33203125" style="4" customWidth="1"/>
    <col min="2064" max="2065" width="3.6640625" style="4" customWidth="1"/>
    <col min="2066" max="2066" width="2.33203125" style="4" customWidth="1"/>
    <col min="2067" max="2068" width="3.6640625" style="4" customWidth="1"/>
    <col min="2069" max="2069" width="2.33203125" style="4" customWidth="1"/>
    <col min="2070" max="2071" width="3.6640625" style="4" customWidth="1"/>
    <col min="2072" max="2072" width="2.33203125" style="4" customWidth="1"/>
    <col min="2073" max="2074" width="3.6640625" style="4" customWidth="1"/>
    <col min="2075" max="2075" width="2.33203125" style="4" customWidth="1"/>
    <col min="2076" max="2077" width="3.6640625" style="4" customWidth="1"/>
    <col min="2078" max="2078" width="2.33203125" style="4" customWidth="1"/>
    <col min="2079" max="2079" width="3.6640625" style="4" customWidth="1"/>
    <col min="2080" max="2080" width="9.6640625" style="4" customWidth="1"/>
    <col min="2081" max="2090" width="3.6640625" style="4" customWidth="1"/>
    <col min="2091" max="2091" width="11" style="4" customWidth="1"/>
    <col min="2092" max="2305" width="8.88671875" style="4"/>
    <col min="2306" max="2306" width="3.6640625" style="4" customWidth="1"/>
    <col min="2307" max="2307" width="2.33203125" style="4" customWidth="1"/>
    <col min="2308" max="2309" width="3.6640625" style="4" customWidth="1"/>
    <col min="2310" max="2310" width="2.33203125" style="4" customWidth="1"/>
    <col min="2311" max="2312" width="3.6640625" style="4" customWidth="1"/>
    <col min="2313" max="2313" width="2.33203125" style="4" customWidth="1"/>
    <col min="2314" max="2315" width="3.6640625" style="4" customWidth="1"/>
    <col min="2316" max="2316" width="2.33203125" style="4" customWidth="1"/>
    <col min="2317" max="2318" width="3.6640625" style="4" customWidth="1"/>
    <col min="2319" max="2319" width="2.33203125" style="4" customWidth="1"/>
    <col min="2320" max="2321" width="3.6640625" style="4" customWidth="1"/>
    <col min="2322" max="2322" width="2.33203125" style="4" customWidth="1"/>
    <col min="2323" max="2324" width="3.6640625" style="4" customWidth="1"/>
    <col min="2325" max="2325" width="2.33203125" style="4" customWidth="1"/>
    <col min="2326" max="2327" width="3.6640625" style="4" customWidth="1"/>
    <col min="2328" max="2328" width="2.33203125" style="4" customWidth="1"/>
    <col min="2329" max="2330" width="3.6640625" style="4" customWidth="1"/>
    <col min="2331" max="2331" width="2.33203125" style="4" customWidth="1"/>
    <col min="2332" max="2333" width="3.6640625" style="4" customWidth="1"/>
    <col min="2334" max="2334" width="2.33203125" style="4" customWidth="1"/>
    <col min="2335" max="2335" width="3.6640625" style="4" customWidth="1"/>
    <col min="2336" max="2336" width="9.6640625" style="4" customWidth="1"/>
    <col min="2337" max="2346" width="3.6640625" style="4" customWidth="1"/>
    <col min="2347" max="2347" width="11" style="4" customWidth="1"/>
    <col min="2348" max="2561" width="8.88671875" style="4"/>
    <col min="2562" max="2562" width="3.6640625" style="4" customWidth="1"/>
    <col min="2563" max="2563" width="2.33203125" style="4" customWidth="1"/>
    <col min="2564" max="2565" width="3.6640625" style="4" customWidth="1"/>
    <col min="2566" max="2566" width="2.33203125" style="4" customWidth="1"/>
    <col min="2567" max="2568" width="3.6640625" style="4" customWidth="1"/>
    <col min="2569" max="2569" width="2.33203125" style="4" customWidth="1"/>
    <col min="2570" max="2571" width="3.6640625" style="4" customWidth="1"/>
    <col min="2572" max="2572" width="2.33203125" style="4" customWidth="1"/>
    <col min="2573" max="2574" width="3.6640625" style="4" customWidth="1"/>
    <col min="2575" max="2575" width="2.33203125" style="4" customWidth="1"/>
    <col min="2576" max="2577" width="3.6640625" style="4" customWidth="1"/>
    <col min="2578" max="2578" width="2.33203125" style="4" customWidth="1"/>
    <col min="2579" max="2580" width="3.6640625" style="4" customWidth="1"/>
    <col min="2581" max="2581" width="2.33203125" style="4" customWidth="1"/>
    <col min="2582" max="2583" width="3.6640625" style="4" customWidth="1"/>
    <col min="2584" max="2584" width="2.33203125" style="4" customWidth="1"/>
    <col min="2585" max="2586" width="3.6640625" style="4" customWidth="1"/>
    <col min="2587" max="2587" width="2.33203125" style="4" customWidth="1"/>
    <col min="2588" max="2589" width="3.6640625" style="4" customWidth="1"/>
    <col min="2590" max="2590" width="2.33203125" style="4" customWidth="1"/>
    <col min="2591" max="2591" width="3.6640625" style="4" customWidth="1"/>
    <col min="2592" max="2592" width="9.6640625" style="4" customWidth="1"/>
    <col min="2593" max="2602" width="3.6640625" style="4" customWidth="1"/>
    <col min="2603" max="2603" width="11" style="4" customWidth="1"/>
    <col min="2604" max="2817" width="8.88671875" style="4"/>
    <col min="2818" max="2818" width="3.6640625" style="4" customWidth="1"/>
    <col min="2819" max="2819" width="2.33203125" style="4" customWidth="1"/>
    <col min="2820" max="2821" width="3.6640625" style="4" customWidth="1"/>
    <col min="2822" max="2822" width="2.33203125" style="4" customWidth="1"/>
    <col min="2823" max="2824" width="3.6640625" style="4" customWidth="1"/>
    <col min="2825" max="2825" width="2.33203125" style="4" customWidth="1"/>
    <col min="2826" max="2827" width="3.6640625" style="4" customWidth="1"/>
    <col min="2828" max="2828" width="2.33203125" style="4" customWidth="1"/>
    <col min="2829" max="2830" width="3.6640625" style="4" customWidth="1"/>
    <col min="2831" max="2831" width="2.33203125" style="4" customWidth="1"/>
    <col min="2832" max="2833" width="3.6640625" style="4" customWidth="1"/>
    <col min="2834" max="2834" width="2.33203125" style="4" customWidth="1"/>
    <col min="2835" max="2836" width="3.6640625" style="4" customWidth="1"/>
    <col min="2837" max="2837" width="2.33203125" style="4" customWidth="1"/>
    <col min="2838" max="2839" width="3.6640625" style="4" customWidth="1"/>
    <col min="2840" max="2840" width="2.33203125" style="4" customWidth="1"/>
    <col min="2841" max="2842" width="3.6640625" style="4" customWidth="1"/>
    <col min="2843" max="2843" width="2.33203125" style="4" customWidth="1"/>
    <col min="2844" max="2845" width="3.6640625" style="4" customWidth="1"/>
    <col min="2846" max="2846" width="2.33203125" style="4" customWidth="1"/>
    <col min="2847" max="2847" width="3.6640625" style="4" customWidth="1"/>
    <col min="2848" max="2848" width="9.6640625" style="4" customWidth="1"/>
    <col min="2849" max="2858" width="3.6640625" style="4" customWidth="1"/>
    <col min="2859" max="2859" width="11" style="4" customWidth="1"/>
    <col min="2860" max="3073" width="8.88671875" style="4"/>
    <col min="3074" max="3074" width="3.6640625" style="4" customWidth="1"/>
    <col min="3075" max="3075" width="2.33203125" style="4" customWidth="1"/>
    <col min="3076" max="3077" width="3.6640625" style="4" customWidth="1"/>
    <col min="3078" max="3078" width="2.33203125" style="4" customWidth="1"/>
    <col min="3079" max="3080" width="3.6640625" style="4" customWidth="1"/>
    <col min="3081" max="3081" width="2.33203125" style="4" customWidth="1"/>
    <col min="3082" max="3083" width="3.6640625" style="4" customWidth="1"/>
    <col min="3084" max="3084" width="2.33203125" style="4" customWidth="1"/>
    <col min="3085" max="3086" width="3.6640625" style="4" customWidth="1"/>
    <col min="3087" max="3087" width="2.33203125" style="4" customWidth="1"/>
    <col min="3088" max="3089" width="3.6640625" style="4" customWidth="1"/>
    <col min="3090" max="3090" width="2.33203125" style="4" customWidth="1"/>
    <col min="3091" max="3092" width="3.6640625" style="4" customWidth="1"/>
    <col min="3093" max="3093" width="2.33203125" style="4" customWidth="1"/>
    <col min="3094" max="3095" width="3.6640625" style="4" customWidth="1"/>
    <col min="3096" max="3096" width="2.33203125" style="4" customWidth="1"/>
    <col min="3097" max="3098" width="3.6640625" style="4" customWidth="1"/>
    <col min="3099" max="3099" width="2.33203125" style="4" customWidth="1"/>
    <col min="3100" max="3101" width="3.6640625" style="4" customWidth="1"/>
    <col min="3102" max="3102" width="2.33203125" style="4" customWidth="1"/>
    <col min="3103" max="3103" width="3.6640625" style="4" customWidth="1"/>
    <col min="3104" max="3104" width="9.6640625" style="4" customWidth="1"/>
    <col min="3105" max="3114" width="3.6640625" style="4" customWidth="1"/>
    <col min="3115" max="3115" width="11" style="4" customWidth="1"/>
    <col min="3116" max="3329" width="8.88671875" style="4"/>
    <col min="3330" max="3330" width="3.6640625" style="4" customWidth="1"/>
    <col min="3331" max="3331" width="2.33203125" style="4" customWidth="1"/>
    <col min="3332" max="3333" width="3.6640625" style="4" customWidth="1"/>
    <col min="3334" max="3334" width="2.33203125" style="4" customWidth="1"/>
    <col min="3335" max="3336" width="3.6640625" style="4" customWidth="1"/>
    <col min="3337" max="3337" width="2.33203125" style="4" customWidth="1"/>
    <col min="3338" max="3339" width="3.6640625" style="4" customWidth="1"/>
    <col min="3340" max="3340" width="2.33203125" style="4" customWidth="1"/>
    <col min="3341" max="3342" width="3.6640625" style="4" customWidth="1"/>
    <col min="3343" max="3343" width="2.33203125" style="4" customWidth="1"/>
    <col min="3344" max="3345" width="3.6640625" style="4" customWidth="1"/>
    <col min="3346" max="3346" width="2.33203125" style="4" customWidth="1"/>
    <col min="3347" max="3348" width="3.6640625" style="4" customWidth="1"/>
    <col min="3349" max="3349" width="2.33203125" style="4" customWidth="1"/>
    <col min="3350" max="3351" width="3.6640625" style="4" customWidth="1"/>
    <col min="3352" max="3352" width="2.33203125" style="4" customWidth="1"/>
    <col min="3353" max="3354" width="3.6640625" style="4" customWidth="1"/>
    <col min="3355" max="3355" width="2.33203125" style="4" customWidth="1"/>
    <col min="3356" max="3357" width="3.6640625" style="4" customWidth="1"/>
    <col min="3358" max="3358" width="2.33203125" style="4" customWidth="1"/>
    <col min="3359" max="3359" width="3.6640625" style="4" customWidth="1"/>
    <col min="3360" max="3360" width="9.6640625" style="4" customWidth="1"/>
    <col min="3361" max="3370" width="3.6640625" style="4" customWidth="1"/>
    <col min="3371" max="3371" width="11" style="4" customWidth="1"/>
    <col min="3372" max="3585" width="8.88671875" style="4"/>
    <col min="3586" max="3586" width="3.6640625" style="4" customWidth="1"/>
    <col min="3587" max="3587" width="2.33203125" style="4" customWidth="1"/>
    <col min="3588" max="3589" width="3.6640625" style="4" customWidth="1"/>
    <col min="3590" max="3590" width="2.33203125" style="4" customWidth="1"/>
    <col min="3591" max="3592" width="3.6640625" style="4" customWidth="1"/>
    <col min="3593" max="3593" width="2.33203125" style="4" customWidth="1"/>
    <col min="3594" max="3595" width="3.6640625" style="4" customWidth="1"/>
    <col min="3596" max="3596" width="2.33203125" style="4" customWidth="1"/>
    <col min="3597" max="3598" width="3.6640625" style="4" customWidth="1"/>
    <col min="3599" max="3599" width="2.33203125" style="4" customWidth="1"/>
    <col min="3600" max="3601" width="3.6640625" style="4" customWidth="1"/>
    <col min="3602" max="3602" width="2.33203125" style="4" customWidth="1"/>
    <col min="3603" max="3604" width="3.6640625" style="4" customWidth="1"/>
    <col min="3605" max="3605" width="2.33203125" style="4" customWidth="1"/>
    <col min="3606" max="3607" width="3.6640625" style="4" customWidth="1"/>
    <col min="3608" max="3608" width="2.33203125" style="4" customWidth="1"/>
    <col min="3609" max="3610" width="3.6640625" style="4" customWidth="1"/>
    <col min="3611" max="3611" width="2.33203125" style="4" customWidth="1"/>
    <col min="3612" max="3613" width="3.6640625" style="4" customWidth="1"/>
    <col min="3614" max="3614" width="2.33203125" style="4" customWidth="1"/>
    <col min="3615" max="3615" width="3.6640625" style="4" customWidth="1"/>
    <col min="3616" max="3616" width="9.6640625" style="4" customWidth="1"/>
    <col min="3617" max="3626" width="3.6640625" style="4" customWidth="1"/>
    <col min="3627" max="3627" width="11" style="4" customWidth="1"/>
    <col min="3628" max="3841" width="8.88671875" style="4"/>
    <col min="3842" max="3842" width="3.6640625" style="4" customWidth="1"/>
    <col min="3843" max="3843" width="2.33203125" style="4" customWidth="1"/>
    <col min="3844" max="3845" width="3.6640625" style="4" customWidth="1"/>
    <col min="3846" max="3846" width="2.33203125" style="4" customWidth="1"/>
    <col min="3847" max="3848" width="3.6640625" style="4" customWidth="1"/>
    <col min="3849" max="3849" width="2.33203125" style="4" customWidth="1"/>
    <col min="3850" max="3851" width="3.6640625" style="4" customWidth="1"/>
    <col min="3852" max="3852" width="2.33203125" style="4" customWidth="1"/>
    <col min="3853" max="3854" width="3.6640625" style="4" customWidth="1"/>
    <col min="3855" max="3855" width="2.33203125" style="4" customWidth="1"/>
    <col min="3856" max="3857" width="3.6640625" style="4" customWidth="1"/>
    <col min="3858" max="3858" width="2.33203125" style="4" customWidth="1"/>
    <col min="3859" max="3860" width="3.6640625" style="4" customWidth="1"/>
    <col min="3861" max="3861" width="2.33203125" style="4" customWidth="1"/>
    <col min="3862" max="3863" width="3.6640625" style="4" customWidth="1"/>
    <col min="3864" max="3864" width="2.33203125" style="4" customWidth="1"/>
    <col min="3865" max="3866" width="3.6640625" style="4" customWidth="1"/>
    <col min="3867" max="3867" width="2.33203125" style="4" customWidth="1"/>
    <col min="3868" max="3869" width="3.6640625" style="4" customWidth="1"/>
    <col min="3870" max="3870" width="2.33203125" style="4" customWidth="1"/>
    <col min="3871" max="3871" width="3.6640625" style="4" customWidth="1"/>
    <col min="3872" max="3872" width="9.6640625" style="4" customWidth="1"/>
    <col min="3873" max="3882" width="3.6640625" style="4" customWidth="1"/>
    <col min="3883" max="3883" width="11" style="4" customWidth="1"/>
    <col min="3884" max="4097" width="8.88671875" style="4"/>
    <col min="4098" max="4098" width="3.6640625" style="4" customWidth="1"/>
    <col min="4099" max="4099" width="2.33203125" style="4" customWidth="1"/>
    <col min="4100" max="4101" width="3.6640625" style="4" customWidth="1"/>
    <col min="4102" max="4102" width="2.33203125" style="4" customWidth="1"/>
    <col min="4103" max="4104" width="3.6640625" style="4" customWidth="1"/>
    <col min="4105" max="4105" width="2.33203125" style="4" customWidth="1"/>
    <col min="4106" max="4107" width="3.6640625" style="4" customWidth="1"/>
    <col min="4108" max="4108" width="2.33203125" style="4" customWidth="1"/>
    <col min="4109" max="4110" width="3.6640625" style="4" customWidth="1"/>
    <col min="4111" max="4111" width="2.33203125" style="4" customWidth="1"/>
    <col min="4112" max="4113" width="3.6640625" style="4" customWidth="1"/>
    <col min="4114" max="4114" width="2.33203125" style="4" customWidth="1"/>
    <col min="4115" max="4116" width="3.6640625" style="4" customWidth="1"/>
    <col min="4117" max="4117" width="2.33203125" style="4" customWidth="1"/>
    <col min="4118" max="4119" width="3.6640625" style="4" customWidth="1"/>
    <col min="4120" max="4120" width="2.33203125" style="4" customWidth="1"/>
    <col min="4121" max="4122" width="3.6640625" style="4" customWidth="1"/>
    <col min="4123" max="4123" width="2.33203125" style="4" customWidth="1"/>
    <col min="4124" max="4125" width="3.6640625" style="4" customWidth="1"/>
    <col min="4126" max="4126" width="2.33203125" style="4" customWidth="1"/>
    <col min="4127" max="4127" width="3.6640625" style="4" customWidth="1"/>
    <col min="4128" max="4128" width="9.6640625" style="4" customWidth="1"/>
    <col min="4129" max="4138" width="3.6640625" style="4" customWidth="1"/>
    <col min="4139" max="4139" width="11" style="4" customWidth="1"/>
    <col min="4140" max="4353" width="8.88671875" style="4"/>
    <col min="4354" max="4354" width="3.6640625" style="4" customWidth="1"/>
    <col min="4355" max="4355" width="2.33203125" style="4" customWidth="1"/>
    <col min="4356" max="4357" width="3.6640625" style="4" customWidth="1"/>
    <col min="4358" max="4358" width="2.33203125" style="4" customWidth="1"/>
    <col min="4359" max="4360" width="3.6640625" style="4" customWidth="1"/>
    <col min="4361" max="4361" width="2.33203125" style="4" customWidth="1"/>
    <col min="4362" max="4363" width="3.6640625" style="4" customWidth="1"/>
    <col min="4364" max="4364" width="2.33203125" style="4" customWidth="1"/>
    <col min="4365" max="4366" width="3.6640625" style="4" customWidth="1"/>
    <col min="4367" max="4367" width="2.33203125" style="4" customWidth="1"/>
    <col min="4368" max="4369" width="3.6640625" style="4" customWidth="1"/>
    <col min="4370" max="4370" width="2.33203125" style="4" customWidth="1"/>
    <col min="4371" max="4372" width="3.6640625" style="4" customWidth="1"/>
    <col min="4373" max="4373" width="2.33203125" style="4" customWidth="1"/>
    <col min="4374" max="4375" width="3.6640625" style="4" customWidth="1"/>
    <col min="4376" max="4376" width="2.33203125" style="4" customWidth="1"/>
    <col min="4377" max="4378" width="3.6640625" style="4" customWidth="1"/>
    <col min="4379" max="4379" width="2.33203125" style="4" customWidth="1"/>
    <col min="4380" max="4381" width="3.6640625" style="4" customWidth="1"/>
    <col min="4382" max="4382" width="2.33203125" style="4" customWidth="1"/>
    <col min="4383" max="4383" width="3.6640625" style="4" customWidth="1"/>
    <col min="4384" max="4384" width="9.6640625" style="4" customWidth="1"/>
    <col min="4385" max="4394" width="3.6640625" style="4" customWidth="1"/>
    <col min="4395" max="4395" width="11" style="4" customWidth="1"/>
    <col min="4396" max="4609" width="8.88671875" style="4"/>
    <col min="4610" max="4610" width="3.6640625" style="4" customWidth="1"/>
    <col min="4611" max="4611" width="2.33203125" style="4" customWidth="1"/>
    <col min="4612" max="4613" width="3.6640625" style="4" customWidth="1"/>
    <col min="4614" max="4614" width="2.33203125" style="4" customWidth="1"/>
    <col min="4615" max="4616" width="3.6640625" style="4" customWidth="1"/>
    <col min="4617" max="4617" width="2.33203125" style="4" customWidth="1"/>
    <col min="4618" max="4619" width="3.6640625" style="4" customWidth="1"/>
    <col min="4620" max="4620" width="2.33203125" style="4" customWidth="1"/>
    <col min="4621" max="4622" width="3.6640625" style="4" customWidth="1"/>
    <col min="4623" max="4623" width="2.33203125" style="4" customWidth="1"/>
    <col min="4624" max="4625" width="3.6640625" style="4" customWidth="1"/>
    <col min="4626" max="4626" width="2.33203125" style="4" customWidth="1"/>
    <col min="4627" max="4628" width="3.6640625" style="4" customWidth="1"/>
    <col min="4629" max="4629" width="2.33203125" style="4" customWidth="1"/>
    <col min="4630" max="4631" width="3.6640625" style="4" customWidth="1"/>
    <col min="4632" max="4632" width="2.33203125" style="4" customWidth="1"/>
    <col min="4633" max="4634" width="3.6640625" style="4" customWidth="1"/>
    <col min="4635" max="4635" width="2.33203125" style="4" customWidth="1"/>
    <col min="4636" max="4637" width="3.6640625" style="4" customWidth="1"/>
    <col min="4638" max="4638" width="2.33203125" style="4" customWidth="1"/>
    <col min="4639" max="4639" width="3.6640625" style="4" customWidth="1"/>
    <col min="4640" max="4640" width="9.6640625" style="4" customWidth="1"/>
    <col min="4641" max="4650" width="3.6640625" style="4" customWidth="1"/>
    <col min="4651" max="4651" width="11" style="4" customWidth="1"/>
    <col min="4652" max="4865" width="8.88671875" style="4"/>
    <col min="4866" max="4866" width="3.6640625" style="4" customWidth="1"/>
    <col min="4867" max="4867" width="2.33203125" style="4" customWidth="1"/>
    <col min="4868" max="4869" width="3.6640625" style="4" customWidth="1"/>
    <col min="4870" max="4870" width="2.33203125" style="4" customWidth="1"/>
    <col min="4871" max="4872" width="3.6640625" style="4" customWidth="1"/>
    <col min="4873" max="4873" width="2.33203125" style="4" customWidth="1"/>
    <col min="4874" max="4875" width="3.6640625" style="4" customWidth="1"/>
    <col min="4876" max="4876" width="2.33203125" style="4" customWidth="1"/>
    <col min="4877" max="4878" width="3.6640625" style="4" customWidth="1"/>
    <col min="4879" max="4879" width="2.33203125" style="4" customWidth="1"/>
    <col min="4880" max="4881" width="3.6640625" style="4" customWidth="1"/>
    <col min="4882" max="4882" width="2.33203125" style="4" customWidth="1"/>
    <col min="4883" max="4884" width="3.6640625" style="4" customWidth="1"/>
    <col min="4885" max="4885" width="2.33203125" style="4" customWidth="1"/>
    <col min="4886" max="4887" width="3.6640625" style="4" customWidth="1"/>
    <col min="4888" max="4888" width="2.33203125" style="4" customWidth="1"/>
    <col min="4889" max="4890" width="3.6640625" style="4" customWidth="1"/>
    <col min="4891" max="4891" width="2.33203125" style="4" customWidth="1"/>
    <col min="4892" max="4893" width="3.6640625" style="4" customWidth="1"/>
    <col min="4894" max="4894" width="2.33203125" style="4" customWidth="1"/>
    <col min="4895" max="4895" width="3.6640625" style="4" customWidth="1"/>
    <col min="4896" max="4896" width="9.6640625" style="4" customWidth="1"/>
    <col min="4897" max="4906" width="3.6640625" style="4" customWidth="1"/>
    <col min="4907" max="4907" width="11" style="4" customWidth="1"/>
    <col min="4908" max="5121" width="8.88671875" style="4"/>
    <col min="5122" max="5122" width="3.6640625" style="4" customWidth="1"/>
    <col min="5123" max="5123" width="2.33203125" style="4" customWidth="1"/>
    <col min="5124" max="5125" width="3.6640625" style="4" customWidth="1"/>
    <col min="5126" max="5126" width="2.33203125" style="4" customWidth="1"/>
    <col min="5127" max="5128" width="3.6640625" style="4" customWidth="1"/>
    <col min="5129" max="5129" width="2.33203125" style="4" customWidth="1"/>
    <col min="5130" max="5131" width="3.6640625" style="4" customWidth="1"/>
    <col min="5132" max="5132" width="2.33203125" style="4" customWidth="1"/>
    <col min="5133" max="5134" width="3.6640625" style="4" customWidth="1"/>
    <col min="5135" max="5135" width="2.33203125" style="4" customWidth="1"/>
    <col min="5136" max="5137" width="3.6640625" style="4" customWidth="1"/>
    <col min="5138" max="5138" width="2.33203125" style="4" customWidth="1"/>
    <col min="5139" max="5140" width="3.6640625" style="4" customWidth="1"/>
    <col min="5141" max="5141" width="2.33203125" style="4" customWidth="1"/>
    <col min="5142" max="5143" width="3.6640625" style="4" customWidth="1"/>
    <col min="5144" max="5144" width="2.33203125" style="4" customWidth="1"/>
    <col min="5145" max="5146" width="3.6640625" style="4" customWidth="1"/>
    <col min="5147" max="5147" width="2.33203125" style="4" customWidth="1"/>
    <col min="5148" max="5149" width="3.6640625" style="4" customWidth="1"/>
    <col min="5150" max="5150" width="2.33203125" style="4" customWidth="1"/>
    <col min="5151" max="5151" width="3.6640625" style="4" customWidth="1"/>
    <col min="5152" max="5152" width="9.6640625" style="4" customWidth="1"/>
    <col min="5153" max="5162" width="3.6640625" style="4" customWidth="1"/>
    <col min="5163" max="5163" width="11" style="4" customWidth="1"/>
    <col min="5164" max="5377" width="8.88671875" style="4"/>
    <col min="5378" max="5378" width="3.6640625" style="4" customWidth="1"/>
    <col min="5379" max="5379" width="2.33203125" style="4" customWidth="1"/>
    <col min="5380" max="5381" width="3.6640625" style="4" customWidth="1"/>
    <col min="5382" max="5382" width="2.33203125" style="4" customWidth="1"/>
    <col min="5383" max="5384" width="3.6640625" style="4" customWidth="1"/>
    <col min="5385" max="5385" width="2.33203125" style="4" customWidth="1"/>
    <col min="5386" max="5387" width="3.6640625" style="4" customWidth="1"/>
    <col min="5388" max="5388" width="2.33203125" style="4" customWidth="1"/>
    <col min="5389" max="5390" width="3.6640625" style="4" customWidth="1"/>
    <col min="5391" max="5391" width="2.33203125" style="4" customWidth="1"/>
    <col min="5392" max="5393" width="3.6640625" style="4" customWidth="1"/>
    <col min="5394" max="5394" width="2.33203125" style="4" customWidth="1"/>
    <col min="5395" max="5396" width="3.6640625" style="4" customWidth="1"/>
    <col min="5397" max="5397" width="2.33203125" style="4" customWidth="1"/>
    <col min="5398" max="5399" width="3.6640625" style="4" customWidth="1"/>
    <col min="5400" max="5400" width="2.33203125" style="4" customWidth="1"/>
    <col min="5401" max="5402" width="3.6640625" style="4" customWidth="1"/>
    <col min="5403" max="5403" width="2.33203125" style="4" customWidth="1"/>
    <col min="5404" max="5405" width="3.6640625" style="4" customWidth="1"/>
    <col min="5406" max="5406" width="2.33203125" style="4" customWidth="1"/>
    <col min="5407" max="5407" width="3.6640625" style="4" customWidth="1"/>
    <col min="5408" max="5408" width="9.6640625" style="4" customWidth="1"/>
    <col min="5409" max="5418" width="3.6640625" style="4" customWidth="1"/>
    <col min="5419" max="5419" width="11" style="4" customWidth="1"/>
    <col min="5420" max="5633" width="8.88671875" style="4"/>
    <col min="5634" max="5634" width="3.6640625" style="4" customWidth="1"/>
    <col min="5635" max="5635" width="2.33203125" style="4" customWidth="1"/>
    <col min="5636" max="5637" width="3.6640625" style="4" customWidth="1"/>
    <col min="5638" max="5638" width="2.33203125" style="4" customWidth="1"/>
    <col min="5639" max="5640" width="3.6640625" style="4" customWidth="1"/>
    <col min="5641" max="5641" width="2.33203125" style="4" customWidth="1"/>
    <col min="5642" max="5643" width="3.6640625" style="4" customWidth="1"/>
    <col min="5644" max="5644" width="2.33203125" style="4" customWidth="1"/>
    <col min="5645" max="5646" width="3.6640625" style="4" customWidth="1"/>
    <col min="5647" max="5647" width="2.33203125" style="4" customWidth="1"/>
    <col min="5648" max="5649" width="3.6640625" style="4" customWidth="1"/>
    <col min="5650" max="5650" width="2.33203125" style="4" customWidth="1"/>
    <col min="5651" max="5652" width="3.6640625" style="4" customWidth="1"/>
    <col min="5653" max="5653" width="2.33203125" style="4" customWidth="1"/>
    <col min="5654" max="5655" width="3.6640625" style="4" customWidth="1"/>
    <col min="5656" max="5656" width="2.33203125" style="4" customWidth="1"/>
    <col min="5657" max="5658" width="3.6640625" style="4" customWidth="1"/>
    <col min="5659" max="5659" width="2.33203125" style="4" customWidth="1"/>
    <col min="5660" max="5661" width="3.6640625" style="4" customWidth="1"/>
    <col min="5662" max="5662" width="2.33203125" style="4" customWidth="1"/>
    <col min="5663" max="5663" width="3.6640625" style="4" customWidth="1"/>
    <col min="5664" max="5664" width="9.6640625" style="4" customWidth="1"/>
    <col min="5665" max="5674" width="3.6640625" style="4" customWidth="1"/>
    <col min="5675" max="5675" width="11" style="4" customWidth="1"/>
    <col min="5676" max="5889" width="8.88671875" style="4"/>
    <col min="5890" max="5890" width="3.6640625" style="4" customWidth="1"/>
    <col min="5891" max="5891" width="2.33203125" style="4" customWidth="1"/>
    <col min="5892" max="5893" width="3.6640625" style="4" customWidth="1"/>
    <col min="5894" max="5894" width="2.33203125" style="4" customWidth="1"/>
    <col min="5895" max="5896" width="3.6640625" style="4" customWidth="1"/>
    <col min="5897" max="5897" width="2.33203125" style="4" customWidth="1"/>
    <col min="5898" max="5899" width="3.6640625" style="4" customWidth="1"/>
    <col min="5900" max="5900" width="2.33203125" style="4" customWidth="1"/>
    <col min="5901" max="5902" width="3.6640625" style="4" customWidth="1"/>
    <col min="5903" max="5903" width="2.33203125" style="4" customWidth="1"/>
    <col min="5904" max="5905" width="3.6640625" style="4" customWidth="1"/>
    <col min="5906" max="5906" width="2.33203125" style="4" customWidth="1"/>
    <col min="5907" max="5908" width="3.6640625" style="4" customWidth="1"/>
    <col min="5909" max="5909" width="2.33203125" style="4" customWidth="1"/>
    <col min="5910" max="5911" width="3.6640625" style="4" customWidth="1"/>
    <col min="5912" max="5912" width="2.33203125" style="4" customWidth="1"/>
    <col min="5913" max="5914" width="3.6640625" style="4" customWidth="1"/>
    <col min="5915" max="5915" width="2.33203125" style="4" customWidth="1"/>
    <col min="5916" max="5917" width="3.6640625" style="4" customWidth="1"/>
    <col min="5918" max="5918" width="2.33203125" style="4" customWidth="1"/>
    <col min="5919" max="5919" width="3.6640625" style="4" customWidth="1"/>
    <col min="5920" max="5920" width="9.6640625" style="4" customWidth="1"/>
    <col min="5921" max="5930" width="3.6640625" style="4" customWidth="1"/>
    <col min="5931" max="5931" width="11" style="4" customWidth="1"/>
    <col min="5932" max="6145" width="8.88671875" style="4"/>
    <col min="6146" max="6146" width="3.6640625" style="4" customWidth="1"/>
    <col min="6147" max="6147" width="2.33203125" style="4" customWidth="1"/>
    <col min="6148" max="6149" width="3.6640625" style="4" customWidth="1"/>
    <col min="6150" max="6150" width="2.33203125" style="4" customWidth="1"/>
    <col min="6151" max="6152" width="3.6640625" style="4" customWidth="1"/>
    <col min="6153" max="6153" width="2.33203125" style="4" customWidth="1"/>
    <col min="6154" max="6155" width="3.6640625" style="4" customWidth="1"/>
    <col min="6156" max="6156" width="2.33203125" style="4" customWidth="1"/>
    <col min="6157" max="6158" width="3.6640625" style="4" customWidth="1"/>
    <col min="6159" max="6159" width="2.33203125" style="4" customWidth="1"/>
    <col min="6160" max="6161" width="3.6640625" style="4" customWidth="1"/>
    <col min="6162" max="6162" width="2.33203125" style="4" customWidth="1"/>
    <col min="6163" max="6164" width="3.6640625" style="4" customWidth="1"/>
    <col min="6165" max="6165" width="2.33203125" style="4" customWidth="1"/>
    <col min="6166" max="6167" width="3.6640625" style="4" customWidth="1"/>
    <col min="6168" max="6168" width="2.33203125" style="4" customWidth="1"/>
    <col min="6169" max="6170" width="3.6640625" style="4" customWidth="1"/>
    <col min="6171" max="6171" width="2.33203125" style="4" customWidth="1"/>
    <col min="6172" max="6173" width="3.6640625" style="4" customWidth="1"/>
    <col min="6174" max="6174" width="2.33203125" style="4" customWidth="1"/>
    <col min="6175" max="6175" width="3.6640625" style="4" customWidth="1"/>
    <col min="6176" max="6176" width="9.6640625" style="4" customWidth="1"/>
    <col min="6177" max="6186" width="3.6640625" style="4" customWidth="1"/>
    <col min="6187" max="6187" width="11" style="4" customWidth="1"/>
    <col min="6188" max="6401" width="8.88671875" style="4"/>
    <col min="6402" max="6402" width="3.6640625" style="4" customWidth="1"/>
    <col min="6403" max="6403" width="2.33203125" style="4" customWidth="1"/>
    <col min="6404" max="6405" width="3.6640625" style="4" customWidth="1"/>
    <col min="6406" max="6406" width="2.33203125" style="4" customWidth="1"/>
    <col min="6407" max="6408" width="3.6640625" style="4" customWidth="1"/>
    <col min="6409" max="6409" width="2.33203125" style="4" customWidth="1"/>
    <col min="6410" max="6411" width="3.6640625" style="4" customWidth="1"/>
    <col min="6412" max="6412" width="2.33203125" style="4" customWidth="1"/>
    <col min="6413" max="6414" width="3.6640625" style="4" customWidth="1"/>
    <col min="6415" max="6415" width="2.33203125" style="4" customWidth="1"/>
    <col min="6416" max="6417" width="3.6640625" style="4" customWidth="1"/>
    <col min="6418" max="6418" width="2.33203125" style="4" customWidth="1"/>
    <col min="6419" max="6420" width="3.6640625" style="4" customWidth="1"/>
    <col min="6421" max="6421" width="2.33203125" style="4" customWidth="1"/>
    <col min="6422" max="6423" width="3.6640625" style="4" customWidth="1"/>
    <col min="6424" max="6424" width="2.33203125" style="4" customWidth="1"/>
    <col min="6425" max="6426" width="3.6640625" style="4" customWidth="1"/>
    <col min="6427" max="6427" width="2.33203125" style="4" customWidth="1"/>
    <col min="6428" max="6429" width="3.6640625" style="4" customWidth="1"/>
    <col min="6430" max="6430" width="2.33203125" style="4" customWidth="1"/>
    <col min="6431" max="6431" width="3.6640625" style="4" customWidth="1"/>
    <col min="6432" max="6432" width="9.6640625" style="4" customWidth="1"/>
    <col min="6433" max="6442" width="3.6640625" style="4" customWidth="1"/>
    <col min="6443" max="6443" width="11" style="4" customWidth="1"/>
    <col min="6444" max="6657" width="8.88671875" style="4"/>
    <col min="6658" max="6658" width="3.6640625" style="4" customWidth="1"/>
    <col min="6659" max="6659" width="2.33203125" style="4" customWidth="1"/>
    <col min="6660" max="6661" width="3.6640625" style="4" customWidth="1"/>
    <col min="6662" max="6662" width="2.33203125" style="4" customWidth="1"/>
    <col min="6663" max="6664" width="3.6640625" style="4" customWidth="1"/>
    <col min="6665" max="6665" width="2.33203125" style="4" customWidth="1"/>
    <col min="6666" max="6667" width="3.6640625" style="4" customWidth="1"/>
    <col min="6668" max="6668" width="2.33203125" style="4" customWidth="1"/>
    <col min="6669" max="6670" width="3.6640625" style="4" customWidth="1"/>
    <col min="6671" max="6671" width="2.33203125" style="4" customWidth="1"/>
    <col min="6672" max="6673" width="3.6640625" style="4" customWidth="1"/>
    <col min="6674" max="6674" width="2.33203125" style="4" customWidth="1"/>
    <col min="6675" max="6676" width="3.6640625" style="4" customWidth="1"/>
    <col min="6677" max="6677" width="2.33203125" style="4" customWidth="1"/>
    <col min="6678" max="6679" width="3.6640625" style="4" customWidth="1"/>
    <col min="6680" max="6680" width="2.33203125" style="4" customWidth="1"/>
    <col min="6681" max="6682" width="3.6640625" style="4" customWidth="1"/>
    <col min="6683" max="6683" width="2.33203125" style="4" customWidth="1"/>
    <col min="6684" max="6685" width="3.6640625" style="4" customWidth="1"/>
    <col min="6686" max="6686" width="2.33203125" style="4" customWidth="1"/>
    <col min="6687" max="6687" width="3.6640625" style="4" customWidth="1"/>
    <col min="6688" max="6688" width="9.6640625" style="4" customWidth="1"/>
    <col min="6689" max="6698" width="3.6640625" style="4" customWidth="1"/>
    <col min="6699" max="6699" width="11" style="4" customWidth="1"/>
    <col min="6700" max="6913" width="8.88671875" style="4"/>
    <col min="6914" max="6914" width="3.6640625" style="4" customWidth="1"/>
    <col min="6915" max="6915" width="2.33203125" style="4" customWidth="1"/>
    <col min="6916" max="6917" width="3.6640625" style="4" customWidth="1"/>
    <col min="6918" max="6918" width="2.33203125" style="4" customWidth="1"/>
    <col min="6919" max="6920" width="3.6640625" style="4" customWidth="1"/>
    <col min="6921" max="6921" width="2.33203125" style="4" customWidth="1"/>
    <col min="6922" max="6923" width="3.6640625" style="4" customWidth="1"/>
    <col min="6924" max="6924" width="2.33203125" style="4" customWidth="1"/>
    <col min="6925" max="6926" width="3.6640625" style="4" customWidth="1"/>
    <col min="6927" max="6927" width="2.33203125" style="4" customWidth="1"/>
    <col min="6928" max="6929" width="3.6640625" style="4" customWidth="1"/>
    <col min="6930" max="6930" width="2.33203125" style="4" customWidth="1"/>
    <col min="6931" max="6932" width="3.6640625" style="4" customWidth="1"/>
    <col min="6933" max="6933" width="2.33203125" style="4" customWidth="1"/>
    <col min="6934" max="6935" width="3.6640625" style="4" customWidth="1"/>
    <col min="6936" max="6936" width="2.33203125" style="4" customWidth="1"/>
    <col min="6937" max="6938" width="3.6640625" style="4" customWidth="1"/>
    <col min="6939" max="6939" width="2.33203125" style="4" customWidth="1"/>
    <col min="6940" max="6941" width="3.6640625" style="4" customWidth="1"/>
    <col min="6942" max="6942" width="2.33203125" style="4" customWidth="1"/>
    <col min="6943" max="6943" width="3.6640625" style="4" customWidth="1"/>
    <col min="6944" max="6944" width="9.6640625" style="4" customWidth="1"/>
    <col min="6945" max="6954" width="3.6640625" style="4" customWidth="1"/>
    <col min="6955" max="6955" width="11" style="4" customWidth="1"/>
    <col min="6956" max="7169" width="8.88671875" style="4"/>
    <col min="7170" max="7170" width="3.6640625" style="4" customWidth="1"/>
    <col min="7171" max="7171" width="2.33203125" style="4" customWidth="1"/>
    <col min="7172" max="7173" width="3.6640625" style="4" customWidth="1"/>
    <col min="7174" max="7174" width="2.33203125" style="4" customWidth="1"/>
    <col min="7175" max="7176" width="3.6640625" style="4" customWidth="1"/>
    <col min="7177" max="7177" width="2.33203125" style="4" customWidth="1"/>
    <col min="7178" max="7179" width="3.6640625" style="4" customWidth="1"/>
    <col min="7180" max="7180" width="2.33203125" style="4" customWidth="1"/>
    <col min="7181" max="7182" width="3.6640625" style="4" customWidth="1"/>
    <col min="7183" max="7183" width="2.33203125" style="4" customWidth="1"/>
    <col min="7184" max="7185" width="3.6640625" style="4" customWidth="1"/>
    <col min="7186" max="7186" width="2.33203125" style="4" customWidth="1"/>
    <col min="7187" max="7188" width="3.6640625" style="4" customWidth="1"/>
    <col min="7189" max="7189" width="2.33203125" style="4" customWidth="1"/>
    <col min="7190" max="7191" width="3.6640625" style="4" customWidth="1"/>
    <col min="7192" max="7192" width="2.33203125" style="4" customWidth="1"/>
    <col min="7193" max="7194" width="3.6640625" style="4" customWidth="1"/>
    <col min="7195" max="7195" width="2.33203125" style="4" customWidth="1"/>
    <col min="7196" max="7197" width="3.6640625" style="4" customWidth="1"/>
    <col min="7198" max="7198" width="2.33203125" style="4" customWidth="1"/>
    <col min="7199" max="7199" width="3.6640625" style="4" customWidth="1"/>
    <col min="7200" max="7200" width="9.6640625" style="4" customWidth="1"/>
    <col min="7201" max="7210" width="3.6640625" style="4" customWidth="1"/>
    <col min="7211" max="7211" width="11" style="4" customWidth="1"/>
    <col min="7212" max="7425" width="8.88671875" style="4"/>
    <col min="7426" max="7426" width="3.6640625" style="4" customWidth="1"/>
    <col min="7427" max="7427" width="2.33203125" style="4" customWidth="1"/>
    <col min="7428" max="7429" width="3.6640625" style="4" customWidth="1"/>
    <col min="7430" max="7430" width="2.33203125" style="4" customWidth="1"/>
    <col min="7431" max="7432" width="3.6640625" style="4" customWidth="1"/>
    <col min="7433" max="7433" width="2.33203125" style="4" customWidth="1"/>
    <col min="7434" max="7435" width="3.6640625" style="4" customWidth="1"/>
    <col min="7436" max="7436" width="2.33203125" style="4" customWidth="1"/>
    <col min="7437" max="7438" width="3.6640625" style="4" customWidth="1"/>
    <col min="7439" max="7439" width="2.33203125" style="4" customWidth="1"/>
    <col min="7440" max="7441" width="3.6640625" style="4" customWidth="1"/>
    <col min="7442" max="7442" width="2.33203125" style="4" customWidth="1"/>
    <col min="7443" max="7444" width="3.6640625" style="4" customWidth="1"/>
    <col min="7445" max="7445" width="2.33203125" style="4" customWidth="1"/>
    <col min="7446" max="7447" width="3.6640625" style="4" customWidth="1"/>
    <col min="7448" max="7448" width="2.33203125" style="4" customWidth="1"/>
    <col min="7449" max="7450" width="3.6640625" style="4" customWidth="1"/>
    <col min="7451" max="7451" width="2.33203125" style="4" customWidth="1"/>
    <col min="7452" max="7453" width="3.6640625" style="4" customWidth="1"/>
    <col min="7454" max="7454" width="2.33203125" style="4" customWidth="1"/>
    <col min="7455" max="7455" width="3.6640625" style="4" customWidth="1"/>
    <col min="7456" max="7456" width="9.6640625" style="4" customWidth="1"/>
    <col min="7457" max="7466" width="3.6640625" style="4" customWidth="1"/>
    <col min="7467" max="7467" width="11" style="4" customWidth="1"/>
    <col min="7468" max="7681" width="8.88671875" style="4"/>
    <col min="7682" max="7682" width="3.6640625" style="4" customWidth="1"/>
    <col min="7683" max="7683" width="2.33203125" style="4" customWidth="1"/>
    <col min="7684" max="7685" width="3.6640625" style="4" customWidth="1"/>
    <col min="7686" max="7686" width="2.33203125" style="4" customWidth="1"/>
    <col min="7687" max="7688" width="3.6640625" style="4" customWidth="1"/>
    <col min="7689" max="7689" width="2.33203125" style="4" customWidth="1"/>
    <col min="7690" max="7691" width="3.6640625" style="4" customWidth="1"/>
    <col min="7692" max="7692" width="2.33203125" style="4" customWidth="1"/>
    <col min="7693" max="7694" width="3.6640625" style="4" customWidth="1"/>
    <col min="7695" max="7695" width="2.33203125" style="4" customWidth="1"/>
    <col min="7696" max="7697" width="3.6640625" style="4" customWidth="1"/>
    <col min="7698" max="7698" width="2.33203125" style="4" customWidth="1"/>
    <col min="7699" max="7700" width="3.6640625" style="4" customWidth="1"/>
    <col min="7701" max="7701" width="2.33203125" style="4" customWidth="1"/>
    <col min="7702" max="7703" width="3.6640625" style="4" customWidth="1"/>
    <col min="7704" max="7704" width="2.33203125" style="4" customWidth="1"/>
    <col min="7705" max="7706" width="3.6640625" style="4" customWidth="1"/>
    <col min="7707" max="7707" width="2.33203125" style="4" customWidth="1"/>
    <col min="7708" max="7709" width="3.6640625" style="4" customWidth="1"/>
    <col min="7710" max="7710" width="2.33203125" style="4" customWidth="1"/>
    <col min="7711" max="7711" width="3.6640625" style="4" customWidth="1"/>
    <col min="7712" max="7712" width="9.6640625" style="4" customWidth="1"/>
    <col min="7713" max="7722" width="3.6640625" style="4" customWidth="1"/>
    <col min="7723" max="7723" width="11" style="4" customWidth="1"/>
    <col min="7724" max="7937" width="8.88671875" style="4"/>
    <col min="7938" max="7938" width="3.6640625" style="4" customWidth="1"/>
    <col min="7939" max="7939" width="2.33203125" style="4" customWidth="1"/>
    <col min="7940" max="7941" width="3.6640625" style="4" customWidth="1"/>
    <col min="7942" max="7942" width="2.33203125" style="4" customWidth="1"/>
    <col min="7943" max="7944" width="3.6640625" style="4" customWidth="1"/>
    <col min="7945" max="7945" width="2.33203125" style="4" customWidth="1"/>
    <col min="7946" max="7947" width="3.6640625" style="4" customWidth="1"/>
    <col min="7948" max="7948" width="2.33203125" style="4" customWidth="1"/>
    <col min="7949" max="7950" width="3.6640625" style="4" customWidth="1"/>
    <col min="7951" max="7951" width="2.33203125" style="4" customWidth="1"/>
    <col min="7952" max="7953" width="3.6640625" style="4" customWidth="1"/>
    <col min="7954" max="7954" width="2.33203125" style="4" customWidth="1"/>
    <col min="7955" max="7956" width="3.6640625" style="4" customWidth="1"/>
    <col min="7957" max="7957" width="2.33203125" style="4" customWidth="1"/>
    <col min="7958" max="7959" width="3.6640625" style="4" customWidth="1"/>
    <col min="7960" max="7960" width="2.33203125" style="4" customWidth="1"/>
    <col min="7961" max="7962" width="3.6640625" style="4" customWidth="1"/>
    <col min="7963" max="7963" width="2.33203125" style="4" customWidth="1"/>
    <col min="7964" max="7965" width="3.6640625" style="4" customWidth="1"/>
    <col min="7966" max="7966" width="2.33203125" style="4" customWidth="1"/>
    <col min="7967" max="7967" width="3.6640625" style="4" customWidth="1"/>
    <col min="7968" max="7968" width="9.6640625" style="4" customWidth="1"/>
    <col min="7969" max="7978" width="3.6640625" style="4" customWidth="1"/>
    <col min="7979" max="7979" width="11" style="4" customWidth="1"/>
    <col min="7980" max="8193" width="8.88671875" style="4"/>
    <col min="8194" max="8194" width="3.6640625" style="4" customWidth="1"/>
    <col min="8195" max="8195" width="2.33203125" style="4" customWidth="1"/>
    <col min="8196" max="8197" width="3.6640625" style="4" customWidth="1"/>
    <col min="8198" max="8198" width="2.33203125" style="4" customWidth="1"/>
    <col min="8199" max="8200" width="3.6640625" style="4" customWidth="1"/>
    <col min="8201" max="8201" width="2.33203125" style="4" customWidth="1"/>
    <col min="8202" max="8203" width="3.6640625" style="4" customWidth="1"/>
    <col min="8204" max="8204" width="2.33203125" style="4" customWidth="1"/>
    <col min="8205" max="8206" width="3.6640625" style="4" customWidth="1"/>
    <col min="8207" max="8207" width="2.33203125" style="4" customWidth="1"/>
    <col min="8208" max="8209" width="3.6640625" style="4" customWidth="1"/>
    <col min="8210" max="8210" width="2.33203125" style="4" customWidth="1"/>
    <col min="8211" max="8212" width="3.6640625" style="4" customWidth="1"/>
    <col min="8213" max="8213" width="2.33203125" style="4" customWidth="1"/>
    <col min="8214" max="8215" width="3.6640625" style="4" customWidth="1"/>
    <col min="8216" max="8216" width="2.33203125" style="4" customWidth="1"/>
    <col min="8217" max="8218" width="3.6640625" style="4" customWidth="1"/>
    <col min="8219" max="8219" width="2.33203125" style="4" customWidth="1"/>
    <col min="8220" max="8221" width="3.6640625" style="4" customWidth="1"/>
    <col min="8222" max="8222" width="2.33203125" style="4" customWidth="1"/>
    <col min="8223" max="8223" width="3.6640625" style="4" customWidth="1"/>
    <col min="8224" max="8224" width="9.6640625" style="4" customWidth="1"/>
    <col min="8225" max="8234" width="3.6640625" style="4" customWidth="1"/>
    <col min="8235" max="8235" width="11" style="4" customWidth="1"/>
    <col min="8236" max="8449" width="8.88671875" style="4"/>
    <col min="8450" max="8450" width="3.6640625" style="4" customWidth="1"/>
    <col min="8451" max="8451" width="2.33203125" style="4" customWidth="1"/>
    <col min="8452" max="8453" width="3.6640625" style="4" customWidth="1"/>
    <col min="8454" max="8454" width="2.33203125" style="4" customWidth="1"/>
    <col min="8455" max="8456" width="3.6640625" style="4" customWidth="1"/>
    <col min="8457" max="8457" width="2.33203125" style="4" customWidth="1"/>
    <col min="8458" max="8459" width="3.6640625" style="4" customWidth="1"/>
    <col min="8460" max="8460" width="2.33203125" style="4" customWidth="1"/>
    <col min="8461" max="8462" width="3.6640625" style="4" customWidth="1"/>
    <col min="8463" max="8463" width="2.33203125" style="4" customWidth="1"/>
    <col min="8464" max="8465" width="3.6640625" style="4" customWidth="1"/>
    <col min="8466" max="8466" width="2.33203125" style="4" customWidth="1"/>
    <col min="8467" max="8468" width="3.6640625" style="4" customWidth="1"/>
    <col min="8469" max="8469" width="2.33203125" style="4" customWidth="1"/>
    <col min="8470" max="8471" width="3.6640625" style="4" customWidth="1"/>
    <col min="8472" max="8472" width="2.33203125" style="4" customWidth="1"/>
    <col min="8473" max="8474" width="3.6640625" style="4" customWidth="1"/>
    <col min="8475" max="8475" width="2.33203125" style="4" customWidth="1"/>
    <col min="8476" max="8477" width="3.6640625" style="4" customWidth="1"/>
    <col min="8478" max="8478" width="2.33203125" style="4" customWidth="1"/>
    <col min="8479" max="8479" width="3.6640625" style="4" customWidth="1"/>
    <col min="8480" max="8480" width="9.6640625" style="4" customWidth="1"/>
    <col min="8481" max="8490" width="3.6640625" style="4" customWidth="1"/>
    <col min="8491" max="8491" width="11" style="4" customWidth="1"/>
    <col min="8492" max="8705" width="8.88671875" style="4"/>
    <col min="8706" max="8706" width="3.6640625" style="4" customWidth="1"/>
    <col min="8707" max="8707" width="2.33203125" style="4" customWidth="1"/>
    <col min="8708" max="8709" width="3.6640625" style="4" customWidth="1"/>
    <col min="8710" max="8710" width="2.33203125" style="4" customWidth="1"/>
    <col min="8711" max="8712" width="3.6640625" style="4" customWidth="1"/>
    <col min="8713" max="8713" width="2.33203125" style="4" customWidth="1"/>
    <col min="8714" max="8715" width="3.6640625" style="4" customWidth="1"/>
    <col min="8716" max="8716" width="2.33203125" style="4" customWidth="1"/>
    <col min="8717" max="8718" width="3.6640625" style="4" customWidth="1"/>
    <col min="8719" max="8719" width="2.33203125" style="4" customWidth="1"/>
    <col min="8720" max="8721" width="3.6640625" style="4" customWidth="1"/>
    <col min="8722" max="8722" width="2.33203125" style="4" customWidth="1"/>
    <col min="8723" max="8724" width="3.6640625" style="4" customWidth="1"/>
    <col min="8725" max="8725" width="2.33203125" style="4" customWidth="1"/>
    <col min="8726" max="8727" width="3.6640625" style="4" customWidth="1"/>
    <col min="8728" max="8728" width="2.33203125" style="4" customWidth="1"/>
    <col min="8729" max="8730" width="3.6640625" style="4" customWidth="1"/>
    <col min="8731" max="8731" width="2.33203125" style="4" customWidth="1"/>
    <col min="8732" max="8733" width="3.6640625" style="4" customWidth="1"/>
    <col min="8734" max="8734" width="2.33203125" style="4" customWidth="1"/>
    <col min="8735" max="8735" width="3.6640625" style="4" customWidth="1"/>
    <col min="8736" max="8736" width="9.6640625" style="4" customWidth="1"/>
    <col min="8737" max="8746" width="3.6640625" style="4" customWidth="1"/>
    <col min="8747" max="8747" width="11" style="4" customWidth="1"/>
    <col min="8748" max="8961" width="8.88671875" style="4"/>
    <col min="8962" max="8962" width="3.6640625" style="4" customWidth="1"/>
    <col min="8963" max="8963" width="2.33203125" style="4" customWidth="1"/>
    <col min="8964" max="8965" width="3.6640625" style="4" customWidth="1"/>
    <col min="8966" max="8966" width="2.33203125" style="4" customWidth="1"/>
    <col min="8967" max="8968" width="3.6640625" style="4" customWidth="1"/>
    <col min="8969" max="8969" width="2.33203125" style="4" customWidth="1"/>
    <col min="8970" max="8971" width="3.6640625" style="4" customWidth="1"/>
    <col min="8972" max="8972" width="2.33203125" style="4" customWidth="1"/>
    <col min="8973" max="8974" width="3.6640625" style="4" customWidth="1"/>
    <col min="8975" max="8975" width="2.33203125" style="4" customWidth="1"/>
    <col min="8976" max="8977" width="3.6640625" style="4" customWidth="1"/>
    <col min="8978" max="8978" width="2.33203125" style="4" customWidth="1"/>
    <col min="8979" max="8980" width="3.6640625" style="4" customWidth="1"/>
    <col min="8981" max="8981" width="2.33203125" style="4" customWidth="1"/>
    <col min="8982" max="8983" width="3.6640625" style="4" customWidth="1"/>
    <col min="8984" max="8984" width="2.33203125" style="4" customWidth="1"/>
    <col min="8985" max="8986" width="3.6640625" style="4" customWidth="1"/>
    <col min="8987" max="8987" width="2.33203125" style="4" customWidth="1"/>
    <col min="8988" max="8989" width="3.6640625" style="4" customWidth="1"/>
    <col min="8990" max="8990" width="2.33203125" style="4" customWidth="1"/>
    <col min="8991" max="8991" width="3.6640625" style="4" customWidth="1"/>
    <col min="8992" max="8992" width="9.6640625" style="4" customWidth="1"/>
    <col min="8993" max="9002" width="3.6640625" style="4" customWidth="1"/>
    <col min="9003" max="9003" width="11" style="4" customWidth="1"/>
    <col min="9004" max="9217" width="8.88671875" style="4"/>
    <col min="9218" max="9218" width="3.6640625" style="4" customWidth="1"/>
    <col min="9219" max="9219" width="2.33203125" style="4" customWidth="1"/>
    <col min="9220" max="9221" width="3.6640625" style="4" customWidth="1"/>
    <col min="9222" max="9222" width="2.33203125" style="4" customWidth="1"/>
    <col min="9223" max="9224" width="3.6640625" style="4" customWidth="1"/>
    <col min="9225" max="9225" width="2.33203125" style="4" customWidth="1"/>
    <col min="9226" max="9227" width="3.6640625" style="4" customWidth="1"/>
    <col min="9228" max="9228" width="2.33203125" style="4" customWidth="1"/>
    <col min="9229" max="9230" width="3.6640625" style="4" customWidth="1"/>
    <col min="9231" max="9231" width="2.33203125" style="4" customWidth="1"/>
    <col min="9232" max="9233" width="3.6640625" style="4" customWidth="1"/>
    <col min="9234" max="9234" width="2.33203125" style="4" customWidth="1"/>
    <col min="9235" max="9236" width="3.6640625" style="4" customWidth="1"/>
    <col min="9237" max="9237" width="2.33203125" style="4" customWidth="1"/>
    <col min="9238" max="9239" width="3.6640625" style="4" customWidth="1"/>
    <col min="9240" max="9240" width="2.33203125" style="4" customWidth="1"/>
    <col min="9241" max="9242" width="3.6640625" style="4" customWidth="1"/>
    <col min="9243" max="9243" width="2.33203125" style="4" customWidth="1"/>
    <col min="9244" max="9245" width="3.6640625" style="4" customWidth="1"/>
    <col min="9246" max="9246" width="2.33203125" style="4" customWidth="1"/>
    <col min="9247" max="9247" width="3.6640625" style="4" customWidth="1"/>
    <col min="9248" max="9248" width="9.6640625" style="4" customWidth="1"/>
    <col min="9249" max="9258" width="3.6640625" style="4" customWidth="1"/>
    <col min="9259" max="9259" width="11" style="4" customWidth="1"/>
    <col min="9260" max="9473" width="8.88671875" style="4"/>
    <col min="9474" max="9474" width="3.6640625" style="4" customWidth="1"/>
    <col min="9475" max="9475" width="2.33203125" style="4" customWidth="1"/>
    <col min="9476" max="9477" width="3.6640625" style="4" customWidth="1"/>
    <col min="9478" max="9478" width="2.33203125" style="4" customWidth="1"/>
    <col min="9479" max="9480" width="3.6640625" style="4" customWidth="1"/>
    <col min="9481" max="9481" width="2.33203125" style="4" customWidth="1"/>
    <col min="9482" max="9483" width="3.6640625" style="4" customWidth="1"/>
    <col min="9484" max="9484" width="2.33203125" style="4" customWidth="1"/>
    <col min="9485" max="9486" width="3.6640625" style="4" customWidth="1"/>
    <col min="9487" max="9487" width="2.33203125" style="4" customWidth="1"/>
    <col min="9488" max="9489" width="3.6640625" style="4" customWidth="1"/>
    <col min="9490" max="9490" width="2.33203125" style="4" customWidth="1"/>
    <col min="9491" max="9492" width="3.6640625" style="4" customWidth="1"/>
    <col min="9493" max="9493" width="2.33203125" style="4" customWidth="1"/>
    <col min="9494" max="9495" width="3.6640625" style="4" customWidth="1"/>
    <col min="9496" max="9496" width="2.33203125" style="4" customWidth="1"/>
    <col min="9497" max="9498" width="3.6640625" style="4" customWidth="1"/>
    <col min="9499" max="9499" width="2.33203125" style="4" customWidth="1"/>
    <col min="9500" max="9501" width="3.6640625" style="4" customWidth="1"/>
    <col min="9502" max="9502" width="2.33203125" style="4" customWidth="1"/>
    <col min="9503" max="9503" width="3.6640625" style="4" customWidth="1"/>
    <col min="9504" max="9504" width="9.6640625" style="4" customWidth="1"/>
    <col min="9505" max="9514" width="3.6640625" style="4" customWidth="1"/>
    <col min="9515" max="9515" width="11" style="4" customWidth="1"/>
    <col min="9516" max="9729" width="8.88671875" style="4"/>
    <col min="9730" max="9730" width="3.6640625" style="4" customWidth="1"/>
    <col min="9731" max="9731" width="2.33203125" style="4" customWidth="1"/>
    <col min="9732" max="9733" width="3.6640625" style="4" customWidth="1"/>
    <col min="9734" max="9734" width="2.33203125" style="4" customWidth="1"/>
    <col min="9735" max="9736" width="3.6640625" style="4" customWidth="1"/>
    <col min="9737" max="9737" width="2.33203125" style="4" customWidth="1"/>
    <col min="9738" max="9739" width="3.6640625" style="4" customWidth="1"/>
    <col min="9740" max="9740" width="2.33203125" style="4" customWidth="1"/>
    <col min="9741" max="9742" width="3.6640625" style="4" customWidth="1"/>
    <col min="9743" max="9743" width="2.33203125" style="4" customWidth="1"/>
    <col min="9744" max="9745" width="3.6640625" style="4" customWidth="1"/>
    <col min="9746" max="9746" width="2.33203125" style="4" customWidth="1"/>
    <col min="9747" max="9748" width="3.6640625" style="4" customWidth="1"/>
    <col min="9749" max="9749" width="2.33203125" style="4" customWidth="1"/>
    <col min="9750" max="9751" width="3.6640625" style="4" customWidth="1"/>
    <col min="9752" max="9752" width="2.33203125" style="4" customWidth="1"/>
    <col min="9753" max="9754" width="3.6640625" style="4" customWidth="1"/>
    <col min="9755" max="9755" width="2.33203125" style="4" customWidth="1"/>
    <col min="9756" max="9757" width="3.6640625" style="4" customWidth="1"/>
    <col min="9758" max="9758" width="2.33203125" style="4" customWidth="1"/>
    <col min="9759" max="9759" width="3.6640625" style="4" customWidth="1"/>
    <col min="9760" max="9760" width="9.6640625" style="4" customWidth="1"/>
    <col min="9761" max="9770" width="3.6640625" style="4" customWidth="1"/>
    <col min="9771" max="9771" width="11" style="4" customWidth="1"/>
    <col min="9772" max="9985" width="8.88671875" style="4"/>
    <col min="9986" max="9986" width="3.6640625" style="4" customWidth="1"/>
    <col min="9987" max="9987" width="2.33203125" style="4" customWidth="1"/>
    <col min="9988" max="9989" width="3.6640625" style="4" customWidth="1"/>
    <col min="9990" max="9990" width="2.33203125" style="4" customWidth="1"/>
    <col min="9991" max="9992" width="3.6640625" style="4" customWidth="1"/>
    <col min="9993" max="9993" width="2.33203125" style="4" customWidth="1"/>
    <col min="9994" max="9995" width="3.6640625" style="4" customWidth="1"/>
    <col min="9996" max="9996" width="2.33203125" style="4" customWidth="1"/>
    <col min="9997" max="9998" width="3.6640625" style="4" customWidth="1"/>
    <col min="9999" max="9999" width="2.33203125" style="4" customWidth="1"/>
    <col min="10000" max="10001" width="3.6640625" style="4" customWidth="1"/>
    <col min="10002" max="10002" width="2.33203125" style="4" customWidth="1"/>
    <col min="10003" max="10004" width="3.6640625" style="4" customWidth="1"/>
    <col min="10005" max="10005" width="2.33203125" style="4" customWidth="1"/>
    <col min="10006" max="10007" width="3.6640625" style="4" customWidth="1"/>
    <col min="10008" max="10008" width="2.33203125" style="4" customWidth="1"/>
    <col min="10009" max="10010" width="3.6640625" style="4" customWidth="1"/>
    <col min="10011" max="10011" width="2.33203125" style="4" customWidth="1"/>
    <col min="10012" max="10013" width="3.6640625" style="4" customWidth="1"/>
    <col min="10014" max="10014" width="2.33203125" style="4" customWidth="1"/>
    <col min="10015" max="10015" width="3.6640625" style="4" customWidth="1"/>
    <col min="10016" max="10016" width="9.6640625" style="4" customWidth="1"/>
    <col min="10017" max="10026" width="3.6640625" style="4" customWidth="1"/>
    <col min="10027" max="10027" width="11" style="4" customWidth="1"/>
    <col min="10028" max="10241" width="8.88671875" style="4"/>
    <col min="10242" max="10242" width="3.6640625" style="4" customWidth="1"/>
    <col min="10243" max="10243" width="2.33203125" style="4" customWidth="1"/>
    <col min="10244" max="10245" width="3.6640625" style="4" customWidth="1"/>
    <col min="10246" max="10246" width="2.33203125" style="4" customWidth="1"/>
    <col min="10247" max="10248" width="3.6640625" style="4" customWidth="1"/>
    <col min="10249" max="10249" width="2.33203125" style="4" customWidth="1"/>
    <col min="10250" max="10251" width="3.6640625" style="4" customWidth="1"/>
    <col min="10252" max="10252" width="2.33203125" style="4" customWidth="1"/>
    <col min="10253" max="10254" width="3.6640625" style="4" customWidth="1"/>
    <col min="10255" max="10255" width="2.33203125" style="4" customWidth="1"/>
    <col min="10256" max="10257" width="3.6640625" style="4" customWidth="1"/>
    <col min="10258" max="10258" width="2.33203125" style="4" customWidth="1"/>
    <col min="10259" max="10260" width="3.6640625" style="4" customWidth="1"/>
    <col min="10261" max="10261" width="2.33203125" style="4" customWidth="1"/>
    <col min="10262" max="10263" width="3.6640625" style="4" customWidth="1"/>
    <col min="10264" max="10264" width="2.33203125" style="4" customWidth="1"/>
    <col min="10265" max="10266" width="3.6640625" style="4" customWidth="1"/>
    <col min="10267" max="10267" width="2.33203125" style="4" customWidth="1"/>
    <col min="10268" max="10269" width="3.6640625" style="4" customWidth="1"/>
    <col min="10270" max="10270" width="2.33203125" style="4" customWidth="1"/>
    <col min="10271" max="10271" width="3.6640625" style="4" customWidth="1"/>
    <col min="10272" max="10272" width="9.6640625" style="4" customWidth="1"/>
    <col min="10273" max="10282" width="3.6640625" style="4" customWidth="1"/>
    <col min="10283" max="10283" width="11" style="4" customWidth="1"/>
    <col min="10284" max="10497" width="8.88671875" style="4"/>
    <col min="10498" max="10498" width="3.6640625" style="4" customWidth="1"/>
    <col min="10499" max="10499" width="2.33203125" style="4" customWidth="1"/>
    <col min="10500" max="10501" width="3.6640625" style="4" customWidth="1"/>
    <col min="10502" max="10502" width="2.33203125" style="4" customWidth="1"/>
    <col min="10503" max="10504" width="3.6640625" style="4" customWidth="1"/>
    <col min="10505" max="10505" width="2.33203125" style="4" customWidth="1"/>
    <col min="10506" max="10507" width="3.6640625" style="4" customWidth="1"/>
    <col min="10508" max="10508" width="2.33203125" style="4" customWidth="1"/>
    <col min="10509" max="10510" width="3.6640625" style="4" customWidth="1"/>
    <col min="10511" max="10511" width="2.33203125" style="4" customWidth="1"/>
    <col min="10512" max="10513" width="3.6640625" style="4" customWidth="1"/>
    <col min="10514" max="10514" width="2.33203125" style="4" customWidth="1"/>
    <col min="10515" max="10516" width="3.6640625" style="4" customWidth="1"/>
    <col min="10517" max="10517" width="2.33203125" style="4" customWidth="1"/>
    <col min="10518" max="10519" width="3.6640625" style="4" customWidth="1"/>
    <col min="10520" max="10520" width="2.33203125" style="4" customWidth="1"/>
    <col min="10521" max="10522" width="3.6640625" style="4" customWidth="1"/>
    <col min="10523" max="10523" width="2.33203125" style="4" customWidth="1"/>
    <col min="10524" max="10525" width="3.6640625" style="4" customWidth="1"/>
    <col min="10526" max="10526" width="2.33203125" style="4" customWidth="1"/>
    <col min="10527" max="10527" width="3.6640625" style="4" customWidth="1"/>
    <col min="10528" max="10528" width="9.6640625" style="4" customWidth="1"/>
    <col min="10529" max="10538" width="3.6640625" style="4" customWidth="1"/>
    <col min="10539" max="10539" width="11" style="4" customWidth="1"/>
    <col min="10540" max="10753" width="8.88671875" style="4"/>
    <col min="10754" max="10754" width="3.6640625" style="4" customWidth="1"/>
    <col min="10755" max="10755" width="2.33203125" style="4" customWidth="1"/>
    <col min="10756" max="10757" width="3.6640625" style="4" customWidth="1"/>
    <col min="10758" max="10758" width="2.33203125" style="4" customWidth="1"/>
    <col min="10759" max="10760" width="3.6640625" style="4" customWidth="1"/>
    <col min="10761" max="10761" width="2.33203125" style="4" customWidth="1"/>
    <col min="10762" max="10763" width="3.6640625" style="4" customWidth="1"/>
    <col min="10764" max="10764" width="2.33203125" style="4" customWidth="1"/>
    <col min="10765" max="10766" width="3.6640625" style="4" customWidth="1"/>
    <col min="10767" max="10767" width="2.33203125" style="4" customWidth="1"/>
    <col min="10768" max="10769" width="3.6640625" style="4" customWidth="1"/>
    <col min="10770" max="10770" width="2.33203125" style="4" customWidth="1"/>
    <col min="10771" max="10772" width="3.6640625" style="4" customWidth="1"/>
    <col min="10773" max="10773" width="2.33203125" style="4" customWidth="1"/>
    <col min="10774" max="10775" width="3.6640625" style="4" customWidth="1"/>
    <col min="10776" max="10776" width="2.33203125" style="4" customWidth="1"/>
    <col min="10777" max="10778" width="3.6640625" style="4" customWidth="1"/>
    <col min="10779" max="10779" width="2.33203125" style="4" customWidth="1"/>
    <col min="10780" max="10781" width="3.6640625" style="4" customWidth="1"/>
    <col min="10782" max="10782" width="2.33203125" style="4" customWidth="1"/>
    <col min="10783" max="10783" width="3.6640625" style="4" customWidth="1"/>
    <col min="10784" max="10784" width="9.6640625" style="4" customWidth="1"/>
    <col min="10785" max="10794" width="3.6640625" style="4" customWidth="1"/>
    <col min="10795" max="10795" width="11" style="4" customWidth="1"/>
    <col min="10796" max="11009" width="8.88671875" style="4"/>
    <col min="11010" max="11010" width="3.6640625" style="4" customWidth="1"/>
    <col min="11011" max="11011" width="2.33203125" style="4" customWidth="1"/>
    <col min="11012" max="11013" width="3.6640625" style="4" customWidth="1"/>
    <col min="11014" max="11014" width="2.33203125" style="4" customWidth="1"/>
    <col min="11015" max="11016" width="3.6640625" style="4" customWidth="1"/>
    <col min="11017" max="11017" width="2.33203125" style="4" customWidth="1"/>
    <col min="11018" max="11019" width="3.6640625" style="4" customWidth="1"/>
    <col min="11020" max="11020" width="2.33203125" style="4" customWidth="1"/>
    <col min="11021" max="11022" width="3.6640625" style="4" customWidth="1"/>
    <col min="11023" max="11023" width="2.33203125" style="4" customWidth="1"/>
    <col min="11024" max="11025" width="3.6640625" style="4" customWidth="1"/>
    <col min="11026" max="11026" width="2.33203125" style="4" customWidth="1"/>
    <col min="11027" max="11028" width="3.6640625" style="4" customWidth="1"/>
    <col min="11029" max="11029" width="2.33203125" style="4" customWidth="1"/>
    <col min="11030" max="11031" width="3.6640625" style="4" customWidth="1"/>
    <col min="11032" max="11032" width="2.33203125" style="4" customWidth="1"/>
    <col min="11033" max="11034" width="3.6640625" style="4" customWidth="1"/>
    <col min="11035" max="11035" width="2.33203125" style="4" customWidth="1"/>
    <col min="11036" max="11037" width="3.6640625" style="4" customWidth="1"/>
    <col min="11038" max="11038" width="2.33203125" style="4" customWidth="1"/>
    <col min="11039" max="11039" width="3.6640625" style="4" customWidth="1"/>
    <col min="11040" max="11040" width="9.6640625" style="4" customWidth="1"/>
    <col min="11041" max="11050" width="3.6640625" style="4" customWidth="1"/>
    <col min="11051" max="11051" width="11" style="4" customWidth="1"/>
    <col min="11052" max="11265" width="8.88671875" style="4"/>
    <col min="11266" max="11266" width="3.6640625" style="4" customWidth="1"/>
    <col min="11267" max="11267" width="2.33203125" style="4" customWidth="1"/>
    <col min="11268" max="11269" width="3.6640625" style="4" customWidth="1"/>
    <col min="11270" max="11270" width="2.33203125" style="4" customWidth="1"/>
    <col min="11271" max="11272" width="3.6640625" style="4" customWidth="1"/>
    <col min="11273" max="11273" width="2.33203125" style="4" customWidth="1"/>
    <col min="11274" max="11275" width="3.6640625" style="4" customWidth="1"/>
    <col min="11276" max="11276" width="2.33203125" style="4" customWidth="1"/>
    <col min="11277" max="11278" width="3.6640625" style="4" customWidth="1"/>
    <col min="11279" max="11279" width="2.33203125" style="4" customWidth="1"/>
    <col min="11280" max="11281" width="3.6640625" style="4" customWidth="1"/>
    <col min="11282" max="11282" width="2.33203125" style="4" customWidth="1"/>
    <col min="11283" max="11284" width="3.6640625" style="4" customWidth="1"/>
    <col min="11285" max="11285" width="2.33203125" style="4" customWidth="1"/>
    <col min="11286" max="11287" width="3.6640625" style="4" customWidth="1"/>
    <col min="11288" max="11288" width="2.33203125" style="4" customWidth="1"/>
    <col min="11289" max="11290" width="3.6640625" style="4" customWidth="1"/>
    <col min="11291" max="11291" width="2.33203125" style="4" customWidth="1"/>
    <col min="11292" max="11293" width="3.6640625" style="4" customWidth="1"/>
    <col min="11294" max="11294" width="2.33203125" style="4" customWidth="1"/>
    <col min="11295" max="11295" width="3.6640625" style="4" customWidth="1"/>
    <col min="11296" max="11296" width="9.6640625" style="4" customWidth="1"/>
    <col min="11297" max="11306" width="3.6640625" style="4" customWidth="1"/>
    <col min="11307" max="11307" width="11" style="4" customWidth="1"/>
    <col min="11308" max="11521" width="8.88671875" style="4"/>
    <col min="11522" max="11522" width="3.6640625" style="4" customWidth="1"/>
    <col min="11523" max="11523" width="2.33203125" style="4" customWidth="1"/>
    <col min="11524" max="11525" width="3.6640625" style="4" customWidth="1"/>
    <col min="11526" max="11526" width="2.33203125" style="4" customWidth="1"/>
    <col min="11527" max="11528" width="3.6640625" style="4" customWidth="1"/>
    <col min="11529" max="11529" width="2.33203125" style="4" customWidth="1"/>
    <col min="11530" max="11531" width="3.6640625" style="4" customWidth="1"/>
    <col min="11532" max="11532" width="2.33203125" style="4" customWidth="1"/>
    <col min="11533" max="11534" width="3.6640625" style="4" customWidth="1"/>
    <col min="11535" max="11535" width="2.33203125" style="4" customWidth="1"/>
    <col min="11536" max="11537" width="3.6640625" style="4" customWidth="1"/>
    <col min="11538" max="11538" width="2.33203125" style="4" customWidth="1"/>
    <col min="11539" max="11540" width="3.6640625" style="4" customWidth="1"/>
    <col min="11541" max="11541" width="2.33203125" style="4" customWidth="1"/>
    <col min="11542" max="11543" width="3.6640625" style="4" customWidth="1"/>
    <col min="11544" max="11544" width="2.33203125" style="4" customWidth="1"/>
    <col min="11545" max="11546" width="3.6640625" style="4" customWidth="1"/>
    <col min="11547" max="11547" width="2.33203125" style="4" customWidth="1"/>
    <col min="11548" max="11549" width="3.6640625" style="4" customWidth="1"/>
    <col min="11550" max="11550" width="2.33203125" style="4" customWidth="1"/>
    <col min="11551" max="11551" width="3.6640625" style="4" customWidth="1"/>
    <col min="11552" max="11552" width="9.6640625" style="4" customWidth="1"/>
    <col min="11553" max="11562" width="3.6640625" style="4" customWidth="1"/>
    <col min="11563" max="11563" width="11" style="4" customWidth="1"/>
    <col min="11564" max="11777" width="8.88671875" style="4"/>
    <col min="11778" max="11778" width="3.6640625" style="4" customWidth="1"/>
    <col min="11779" max="11779" width="2.33203125" style="4" customWidth="1"/>
    <col min="11780" max="11781" width="3.6640625" style="4" customWidth="1"/>
    <col min="11782" max="11782" width="2.33203125" style="4" customWidth="1"/>
    <col min="11783" max="11784" width="3.6640625" style="4" customWidth="1"/>
    <col min="11785" max="11785" width="2.33203125" style="4" customWidth="1"/>
    <col min="11786" max="11787" width="3.6640625" style="4" customWidth="1"/>
    <col min="11788" max="11788" width="2.33203125" style="4" customWidth="1"/>
    <col min="11789" max="11790" width="3.6640625" style="4" customWidth="1"/>
    <col min="11791" max="11791" width="2.33203125" style="4" customWidth="1"/>
    <col min="11792" max="11793" width="3.6640625" style="4" customWidth="1"/>
    <col min="11794" max="11794" width="2.33203125" style="4" customWidth="1"/>
    <col min="11795" max="11796" width="3.6640625" style="4" customWidth="1"/>
    <col min="11797" max="11797" width="2.33203125" style="4" customWidth="1"/>
    <col min="11798" max="11799" width="3.6640625" style="4" customWidth="1"/>
    <col min="11800" max="11800" width="2.33203125" style="4" customWidth="1"/>
    <col min="11801" max="11802" width="3.6640625" style="4" customWidth="1"/>
    <col min="11803" max="11803" width="2.33203125" style="4" customWidth="1"/>
    <col min="11804" max="11805" width="3.6640625" style="4" customWidth="1"/>
    <col min="11806" max="11806" width="2.33203125" style="4" customWidth="1"/>
    <col min="11807" max="11807" width="3.6640625" style="4" customWidth="1"/>
    <col min="11808" max="11808" width="9.6640625" style="4" customWidth="1"/>
    <col min="11809" max="11818" width="3.6640625" style="4" customWidth="1"/>
    <col min="11819" max="11819" width="11" style="4" customWidth="1"/>
    <col min="11820" max="12033" width="8.88671875" style="4"/>
    <col min="12034" max="12034" width="3.6640625" style="4" customWidth="1"/>
    <col min="12035" max="12035" width="2.33203125" style="4" customWidth="1"/>
    <col min="12036" max="12037" width="3.6640625" style="4" customWidth="1"/>
    <col min="12038" max="12038" width="2.33203125" style="4" customWidth="1"/>
    <col min="12039" max="12040" width="3.6640625" style="4" customWidth="1"/>
    <col min="12041" max="12041" width="2.33203125" style="4" customWidth="1"/>
    <col min="12042" max="12043" width="3.6640625" style="4" customWidth="1"/>
    <col min="12044" max="12044" width="2.33203125" style="4" customWidth="1"/>
    <col min="12045" max="12046" width="3.6640625" style="4" customWidth="1"/>
    <col min="12047" max="12047" width="2.33203125" style="4" customWidth="1"/>
    <col min="12048" max="12049" width="3.6640625" style="4" customWidth="1"/>
    <col min="12050" max="12050" width="2.33203125" style="4" customWidth="1"/>
    <col min="12051" max="12052" width="3.6640625" style="4" customWidth="1"/>
    <col min="12053" max="12053" width="2.33203125" style="4" customWidth="1"/>
    <col min="12054" max="12055" width="3.6640625" style="4" customWidth="1"/>
    <col min="12056" max="12056" width="2.33203125" style="4" customWidth="1"/>
    <col min="12057" max="12058" width="3.6640625" style="4" customWidth="1"/>
    <col min="12059" max="12059" width="2.33203125" style="4" customWidth="1"/>
    <col min="12060" max="12061" width="3.6640625" style="4" customWidth="1"/>
    <col min="12062" max="12062" width="2.33203125" style="4" customWidth="1"/>
    <col min="12063" max="12063" width="3.6640625" style="4" customWidth="1"/>
    <col min="12064" max="12064" width="9.6640625" style="4" customWidth="1"/>
    <col min="12065" max="12074" width="3.6640625" style="4" customWidth="1"/>
    <col min="12075" max="12075" width="11" style="4" customWidth="1"/>
    <col min="12076" max="12289" width="8.88671875" style="4"/>
    <col min="12290" max="12290" width="3.6640625" style="4" customWidth="1"/>
    <col min="12291" max="12291" width="2.33203125" style="4" customWidth="1"/>
    <col min="12292" max="12293" width="3.6640625" style="4" customWidth="1"/>
    <col min="12294" max="12294" width="2.33203125" style="4" customWidth="1"/>
    <col min="12295" max="12296" width="3.6640625" style="4" customWidth="1"/>
    <col min="12297" max="12297" width="2.33203125" style="4" customWidth="1"/>
    <col min="12298" max="12299" width="3.6640625" style="4" customWidth="1"/>
    <col min="12300" max="12300" width="2.33203125" style="4" customWidth="1"/>
    <col min="12301" max="12302" width="3.6640625" style="4" customWidth="1"/>
    <col min="12303" max="12303" width="2.33203125" style="4" customWidth="1"/>
    <col min="12304" max="12305" width="3.6640625" style="4" customWidth="1"/>
    <col min="12306" max="12306" width="2.33203125" style="4" customWidth="1"/>
    <col min="12307" max="12308" width="3.6640625" style="4" customWidth="1"/>
    <col min="12309" max="12309" width="2.33203125" style="4" customWidth="1"/>
    <col min="12310" max="12311" width="3.6640625" style="4" customWidth="1"/>
    <col min="12312" max="12312" width="2.33203125" style="4" customWidth="1"/>
    <col min="12313" max="12314" width="3.6640625" style="4" customWidth="1"/>
    <col min="12315" max="12315" width="2.33203125" style="4" customWidth="1"/>
    <col min="12316" max="12317" width="3.6640625" style="4" customWidth="1"/>
    <col min="12318" max="12318" width="2.33203125" style="4" customWidth="1"/>
    <col min="12319" max="12319" width="3.6640625" style="4" customWidth="1"/>
    <col min="12320" max="12320" width="9.6640625" style="4" customWidth="1"/>
    <col min="12321" max="12330" width="3.6640625" style="4" customWidth="1"/>
    <col min="12331" max="12331" width="11" style="4" customWidth="1"/>
    <col min="12332" max="12545" width="8.88671875" style="4"/>
    <col min="12546" max="12546" width="3.6640625" style="4" customWidth="1"/>
    <col min="12547" max="12547" width="2.33203125" style="4" customWidth="1"/>
    <col min="12548" max="12549" width="3.6640625" style="4" customWidth="1"/>
    <col min="12550" max="12550" width="2.33203125" style="4" customWidth="1"/>
    <col min="12551" max="12552" width="3.6640625" style="4" customWidth="1"/>
    <col min="12553" max="12553" width="2.33203125" style="4" customWidth="1"/>
    <col min="12554" max="12555" width="3.6640625" style="4" customWidth="1"/>
    <col min="12556" max="12556" width="2.33203125" style="4" customWidth="1"/>
    <col min="12557" max="12558" width="3.6640625" style="4" customWidth="1"/>
    <col min="12559" max="12559" width="2.33203125" style="4" customWidth="1"/>
    <col min="12560" max="12561" width="3.6640625" style="4" customWidth="1"/>
    <col min="12562" max="12562" width="2.33203125" style="4" customWidth="1"/>
    <col min="12563" max="12564" width="3.6640625" style="4" customWidth="1"/>
    <col min="12565" max="12565" width="2.33203125" style="4" customWidth="1"/>
    <col min="12566" max="12567" width="3.6640625" style="4" customWidth="1"/>
    <col min="12568" max="12568" width="2.33203125" style="4" customWidth="1"/>
    <col min="12569" max="12570" width="3.6640625" style="4" customWidth="1"/>
    <col min="12571" max="12571" width="2.33203125" style="4" customWidth="1"/>
    <col min="12572" max="12573" width="3.6640625" style="4" customWidth="1"/>
    <col min="12574" max="12574" width="2.33203125" style="4" customWidth="1"/>
    <col min="12575" max="12575" width="3.6640625" style="4" customWidth="1"/>
    <col min="12576" max="12576" width="9.6640625" style="4" customWidth="1"/>
    <col min="12577" max="12586" width="3.6640625" style="4" customWidth="1"/>
    <col min="12587" max="12587" width="11" style="4" customWidth="1"/>
    <col min="12588" max="12801" width="8.88671875" style="4"/>
    <col min="12802" max="12802" width="3.6640625" style="4" customWidth="1"/>
    <col min="12803" max="12803" width="2.33203125" style="4" customWidth="1"/>
    <col min="12804" max="12805" width="3.6640625" style="4" customWidth="1"/>
    <col min="12806" max="12806" width="2.33203125" style="4" customWidth="1"/>
    <col min="12807" max="12808" width="3.6640625" style="4" customWidth="1"/>
    <col min="12809" max="12809" width="2.33203125" style="4" customWidth="1"/>
    <col min="12810" max="12811" width="3.6640625" style="4" customWidth="1"/>
    <col min="12812" max="12812" width="2.33203125" style="4" customWidth="1"/>
    <col min="12813" max="12814" width="3.6640625" style="4" customWidth="1"/>
    <col min="12815" max="12815" width="2.33203125" style="4" customWidth="1"/>
    <col min="12816" max="12817" width="3.6640625" style="4" customWidth="1"/>
    <col min="12818" max="12818" width="2.33203125" style="4" customWidth="1"/>
    <col min="12819" max="12820" width="3.6640625" style="4" customWidth="1"/>
    <col min="12821" max="12821" width="2.33203125" style="4" customWidth="1"/>
    <col min="12822" max="12823" width="3.6640625" style="4" customWidth="1"/>
    <col min="12824" max="12824" width="2.33203125" style="4" customWidth="1"/>
    <col min="12825" max="12826" width="3.6640625" style="4" customWidth="1"/>
    <col min="12827" max="12827" width="2.33203125" style="4" customWidth="1"/>
    <col min="12828" max="12829" width="3.6640625" style="4" customWidth="1"/>
    <col min="12830" max="12830" width="2.33203125" style="4" customWidth="1"/>
    <col min="12831" max="12831" width="3.6640625" style="4" customWidth="1"/>
    <col min="12832" max="12832" width="9.6640625" style="4" customWidth="1"/>
    <col min="12833" max="12842" width="3.6640625" style="4" customWidth="1"/>
    <col min="12843" max="12843" width="11" style="4" customWidth="1"/>
    <col min="12844" max="13057" width="8.88671875" style="4"/>
    <col min="13058" max="13058" width="3.6640625" style="4" customWidth="1"/>
    <col min="13059" max="13059" width="2.33203125" style="4" customWidth="1"/>
    <col min="13060" max="13061" width="3.6640625" style="4" customWidth="1"/>
    <col min="13062" max="13062" width="2.33203125" style="4" customWidth="1"/>
    <col min="13063" max="13064" width="3.6640625" style="4" customWidth="1"/>
    <col min="13065" max="13065" width="2.33203125" style="4" customWidth="1"/>
    <col min="13066" max="13067" width="3.6640625" style="4" customWidth="1"/>
    <col min="13068" max="13068" width="2.33203125" style="4" customWidth="1"/>
    <col min="13069" max="13070" width="3.6640625" style="4" customWidth="1"/>
    <col min="13071" max="13071" width="2.33203125" style="4" customWidth="1"/>
    <col min="13072" max="13073" width="3.6640625" style="4" customWidth="1"/>
    <col min="13074" max="13074" width="2.33203125" style="4" customWidth="1"/>
    <col min="13075" max="13076" width="3.6640625" style="4" customWidth="1"/>
    <col min="13077" max="13077" width="2.33203125" style="4" customWidth="1"/>
    <col min="13078" max="13079" width="3.6640625" style="4" customWidth="1"/>
    <col min="13080" max="13080" width="2.33203125" style="4" customWidth="1"/>
    <col min="13081" max="13082" width="3.6640625" style="4" customWidth="1"/>
    <col min="13083" max="13083" width="2.33203125" style="4" customWidth="1"/>
    <col min="13084" max="13085" width="3.6640625" style="4" customWidth="1"/>
    <col min="13086" max="13086" width="2.33203125" style="4" customWidth="1"/>
    <col min="13087" max="13087" width="3.6640625" style="4" customWidth="1"/>
    <col min="13088" max="13088" width="9.6640625" style="4" customWidth="1"/>
    <col min="13089" max="13098" width="3.6640625" style="4" customWidth="1"/>
    <col min="13099" max="13099" width="11" style="4" customWidth="1"/>
    <col min="13100" max="13313" width="8.88671875" style="4"/>
    <col min="13314" max="13314" width="3.6640625" style="4" customWidth="1"/>
    <col min="13315" max="13315" width="2.33203125" style="4" customWidth="1"/>
    <col min="13316" max="13317" width="3.6640625" style="4" customWidth="1"/>
    <col min="13318" max="13318" width="2.33203125" style="4" customWidth="1"/>
    <col min="13319" max="13320" width="3.6640625" style="4" customWidth="1"/>
    <col min="13321" max="13321" width="2.33203125" style="4" customWidth="1"/>
    <col min="13322" max="13323" width="3.6640625" style="4" customWidth="1"/>
    <col min="13324" max="13324" width="2.33203125" style="4" customWidth="1"/>
    <col min="13325" max="13326" width="3.6640625" style="4" customWidth="1"/>
    <col min="13327" max="13327" width="2.33203125" style="4" customWidth="1"/>
    <col min="13328" max="13329" width="3.6640625" style="4" customWidth="1"/>
    <col min="13330" max="13330" width="2.33203125" style="4" customWidth="1"/>
    <col min="13331" max="13332" width="3.6640625" style="4" customWidth="1"/>
    <col min="13333" max="13333" width="2.33203125" style="4" customWidth="1"/>
    <col min="13334" max="13335" width="3.6640625" style="4" customWidth="1"/>
    <col min="13336" max="13336" width="2.33203125" style="4" customWidth="1"/>
    <col min="13337" max="13338" width="3.6640625" style="4" customWidth="1"/>
    <col min="13339" max="13339" width="2.33203125" style="4" customWidth="1"/>
    <col min="13340" max="13341" width="3.6640625" style="4" customWidth="1"/>
    <col min="13342" max="13342" width="2.33203125" style="4" customWidth="1"/>
    <col min="13343" max="13343" width="3.6640625" style="4" customWidth="1"/>
    <col min="13344" max="13344" width="9.6640625" style="4" customWidth="1"/>
    <col min="13345" max="13354" width="3.6640625" style="4" customWidth="1"/>
    <col min="13355" max="13355" width="11" style="4" customWidth="1"/>
    <col min="13356" max="13569" width="8.88671875" style="4"/>
    <col min="13570" max="13570" width="3.6640625" style="4" customWidth="1"/>
    <col min="13571" max="13571" width="2.33203125" style="4" customWidth="1"/>
    <col min="13572" max="13573" width="3.6640625" style="4" customWidth="1"/>
    <col min="13574" max="13574" width="2.33203125" style="4" customWidth="1"/>
    <col min="13575" max="13576" width="3.6640625" style="4" customWidth="1"/>
    <col min="13577" max="13577" width="2.33203125" style="4" customWidth="1"/>
    <col min="13578" max="13579" width="3.6640625" style="4" customWidth="1"/>
    <col min="13580" max="13580" width="2.33203125" style="4" customWidth="1"/>
    <col min="13581" max="13582" width="3.6640625" style="4" customWidth="1"/>
    <col min="13583" max="13583" width="2.33203125" style="4" customWidth="1"/>
    <col min="13584" max="13585" width="3.6640625" style="4" customWidth="1"/>
    <col min="13586" max="13586" width="2.33203125" style="4" customWidth="1"/>
    <col min="13587" max="13588" width="3.6640625" style="4" customWidth="1"/>
    <col min="13589" max="13589" width="2.33203125" style="4" customWidth="1"/>
    <col min="13590" max="13591" width="3.6640625" style="4" customWidth="1"/>
    <col min="13592" max="13592" width="2.33203125" style="4" customWidth="1"/>
    <col min="13593" max="13594" width="3.6640625" style="4" customWidth="1"/>
    <col min="13595" max="13595" width="2.33203125" style="4" customWidth="1"/>
    <col min="13596" max="13597" width="3.6640625" style="4" customWidth="1"/>
    <col min="13598" max="13598" width="2.33203125" style="4" customWidth="1"/>
    <col min="13599" max="13599" width="3.6640625" style="4" customWidth="1"/>
    <col min="13600" max="13600" width="9.6640625" style="4" customWidth="1"/>
    <col min="13601" max="13610" width="3.6640625" style="4" customWidth="1"/>
    <col min="13611" max="13611" width="11" style="4" customWidth="1"/>
    <col min="13612" max="13825" width="8.88671875" style="4"/>
    <col min="13826" max="13826" width="3.6640625" style="4" customWidth="1"/>
    <col min="13827" max="13827" width="2.33203125" style="4" customWidth="1"/>
    <col min="13828" max="13829" width="3.6640625" style="4" customWidth="1"/>
    <col min="13830" max="13830" width="2.33203125" style="4" customWidth="1"/>
    <col min="13831" max="13832" width="3.6640625" style="4" customWidth="1"/>
    <col min="13833" max="13833" width="2.33203125" style="4" customWidth="1"/>
    <col min="13834" max="13835" width="3.6640625" style="4" customWidth="1"/>
    <col min="13836" max="13836" width="2.33203125" style="4" customWidth="1"/>
    <col min="13837" max="13838" width="3.6640625" style="4" customWidth="1"/>
    <col min="13839" max="13839" width="2.33203125" style="4" customWidth="1"/>
    <col min="13840" max="13841" width="3.6640625" style="4" customWidth="1"/>
    <col min="13842" max="13842" width="2.33203125" style="4" customWidth="1"/>
    <col min="13843" max="13844" width="3.6640625" style="4" customWidth="1"/>
    <col min="13845" max="13845" width="2.33203125" style="4" customWidth="1"/>
    <col min="13846" max="13847" width="3.6640625" style="4" customWidth="1"/>
    <col min="13848" max="13848" width="2.33203125" style="4" customWidth="1"/>
    <col min="13849" max="13850" width="3.6640625" style="4" customWidth="1"/>
    <col min="13851" max="13851" width="2.33203125" style="4" customWidth="1"/>
    <col min="13852" max="13853" width="3.6640625" style="4" customWidth="1"/>
    <col min="13854" max="13854" width="2.33203125" style="4" customWidth="1"/>
    <col min="13855" max="13855" width="3.6640625" style="4" customWidth="1"/>
    <col min="13856" max="13856" width="9.6640625" style="4" customWidth="1"/>
    <col min="13857" max="13866" width="3.6640625" style="4" customWidth="1"/>
    <col min="13867" max="13867" width="11" style="4" customWidth="1"/>
    <col min="13868" max="14081" width="8.88671875" style="4"/>
    <col min="14082" max="14082" width="3.6640625" style="4" customWidth="1"/>
    <col min="14083" max="14083" width="2.33203125" style="4" customWidth="1"/>
    <col min="14084" max="14085" width="3.6640625" style="4" customWidth="1"/>
    <col min="14086" max="14086" width="2.33203125" style="4" customWidth="1"/>
    <col min="14087" max="14088" width="3.6640625" style="4" customWidth="1"/>
    <col min="14089" max="14089" width="2.33203125" style="4" customWidth="1"/>
    <col min="14090" max="14091" width="3.6640625" style="4" customWidth="1"/>
    <col min="14092" max="14092" width="2.33203125" style="4" customWidth="1"/>
    <col min="14093" max="14094" width="3.6640625" style="4" customWidth="1"/>
    <col min="14095" max="14095" width="2.33203125" style="4" customWidth="1"/>
    <col min="14096" max="14097" width="3.6640625" style="4" customWidth="1"/>
    <col min="14098" max="14098" width="2.33203125" style="4" customWidth="1"/>
    <col min="14099" max="14100" width="3.6640625" style="4" customWidth="1"/>
    <col min="14101" max="14101" width="2.33203125" style="4" customWidth="1"/>
    <col min="14102" max="14103" width="3.6640625" style="4" customWidth="1"/>
    <col min="14104" max="14104" width="2.33203125" style="4" customWidth="1"/>
    <col min="14105" max="14106" width="3.6640625" style="4" customWidth="1"/>
    <col min="14107" max="14107" width="2.33203125" style="4" customWidth="1"/>
    <col min="14108" max="14109" width="3.6640625" style="4" customWidth="1"/>
    <col min="14110" max="14110" width="2.33203125" style="4" customWidth="1"/>
    <col min="14111" max="14111" width="3.6640625" style="4" customWidth="1"/>
    <col min="14112" max="14112" width="9.6640625" style="4" customWidth="1"/>
    <col min="14113" max="14122" width="3.6640625" style="4" customWidth="1"/>
    <col min="14123" max="14123" width="11" style="4" customWidth="1"/>
    <col min="14124" max="14337" width="8.88671875" style="4"/>
    <col min="14338" max="14338" width="3.6640625" style="4" customWidth="1"/>
    <col min="14339" max="14339" width="2.33203125" style="4" customWidth="1"/>
    <col min="14340" max="14341" width="3.6640625" style="4" customWidth="1"/>
    <col min="14342" max="14342" width="2.33203125" style="4" customWidth="1"/>
    <col min="14343" max="14344" width="3.6640625" style="4" customWidth="1"/>
    <col min="14345" max="14345" width="2.33203125" style="4" customWidth="1"/>
    <col min="14346" max="14347" width="3.6640625" style="4" customWidth="1"/>
    <col min="14348" max="14348" width="2.33203125" style="4" customWidth="1"/>
    <col min="14349" max="14350" width="3.6640625" style="4" customWidth="1"/>
    <col min="14351" max="14351" width="2.33203125" style="4" customWidth="1"/>
    <col min="14352" max="14353" width="3.6640625" style="4" customWidth="1"/>
    <col min="14354" max="14354" width="2.33203125" style="4" customWidth="1"/>
    <col min="14355" max="14356" width="3.6640625" style="4" customWidth="1"/>
    <col min="14357" max="14357" width="2.33203125" style="4" customWidth="1"/>
    <col min="14358" max="14359" width="3.6640625" style="4" customWidth="1"/>
    <col min="14360" max="14360" width="2.33203125" style="4" customWidth="1"/>
    <col min="14361" max="14362" width="3.6640625" style="4" customWidth="1"/>
    <col min="14363" max="14363" width="2.33203125" style="4" customWidth="1"/>
    <col min="14364" max="14365" width="3.6640625" style="4" customWidth="1"/>
    <col min="14366" max="14366" width="2.33203125" style="4" customWidth="1"/>
    <col min="14367" max="14367" width="3.6640625" style="4" customWidth="1"/>
    <col min="14368" max="14368" width="9.6640625" style="4" customWidth="1"/>
    <col min="14369" max="14378" width="3.6640625" style="4" customWidth="1"/>
    <col min="14379" max="14379" width="11" style="4" customWidth="1"/>
    <col min="14380" max="14593" width="8.88671875" style="4"/>
    <col min="14594" max="14594" width="3.6640625" style="4" customWidth="1"/>
    <col min="14595" max="14595" width="2.33203125" style="4" customWidth="1"/>
    <col min="14596" max="14597" width="3.6640625" style="4" customWidth="1"/>
    <col min="14598" max="14598" width="2.33203125" style="4" customWidth="1"/>
    <col min="14599" max="14600" width="3.6640625" style="4" customWidth="1"/>
    <col min="14601" max="14601" width="2.33203125" style="4" customWidth="1"/>
    <col min="14602" max="14603" width="3.6640625" style="4" customWidth="1"/>
    <col min="14604" max="14604" width="2.33203125" style="4" customWidth="1"/>
    <col min="14605" max="14606" width="3.6640625" style="4" customWidth="1"/>
    <col min="14607" max="14607" width="2.33203125" style="4" customWidth="1"/>
    <col min="14608" max="14609" width="3.6640625" style="4" customWidth="1"/>
    <col min="14610" max="14610" width="2.33203125" style="4" customWidth="1"/>
    <col min="14611" max="14612" width="3.6640625" style="4" customWidth="1"/>
    <col min="14613" max="14613" width="2.33203125" style="4" customWidth="1"/>
    <col min="14614" max="14615" width="3.6640625" style="4" customWidth="1"/>
    <col min="14616" max="14616" width="2.33203125" style="4" customWidth="1"/>
    <col min="14617" max="14618" width="3.6640625" style="4" customWidth="1"/>
    <col min="14619" max="14619" width="2.33203125" style="4" customWidth="1"/>
    <col min="14620" max="14621" width="3.6640625" style="4" customWidth="1"/>
    <col min="14622" max="14622" width="2.33203125" style="4" customWidth="1"/>
    <col min="14623" max="14623" width="3.6640625" style="4" customWidth="1"/>
    <col min="14624" max="14624" width="9.6640625" style="4" customWidth="1"/>
    <col min="14625" max="14634" width="3.6640625" style="4" customWidth="1"/>
    <col min="14635" max="14635" width="11" style="4" customWidth="1"/>
    <col min="14636" max="14849" width="8.88671875" style="4"/>
    <col min="14850" max="14850" width="3.6640625" style="4" customWidth="1"/>
    <col min="14851" max="14851" width="2.33203125" style="4" customWidth="1"/>
    <col min="14852" max="14853" width="3.6640625" style="4" customWidth="1"/>
    <col min="14854" max="14854" width="2.33203125" style="4" customWidth="1"/>
    <col min="14855" max="14856" width="3.6640625" style="4" customWidth="1"/>
    <col min="14857" max="14857" width="2.33203125" style="4" customWidth="1"/>
    <col min="14858" max="14859" width="3.6640625" style="4" customWidth="1"/>
    <col min="14860" max="14860" width="2.33203125" style="4" customWidth="1"/>
    <col min="14861" max="14862" width="3.6640625" style="4" customWidth="1"/>
    <col min="14863" max="14863" width="2.33203125" style="4" customWidth="1"/>
    <col min="14864" max="14865" width="3.6640625" style="4" customWidth="1"/>
    <col min="14866" max="14866" width="2.33203125" style="4" customWidth="1"/>
    <col min="14867" max="14868" width="3.6640625" style="4" customWidth="1"/>
    <col min="14869" max="14869" width="2.33203125" style="4" customWidth="1"/>
    <col min="14870" max="14871" width="3.6640625" style="4" customWidth="1"/>
    <col min="14872" max="14872" width="2.33203125" style="4" customWidth="1"/>
    <col min="14873" max="14874" width="3.6640625" style="4" customWidth="1"/>
    <col min="14875" max="14875" width="2.33203125" style="4" customWidth="1"/>
    <col min="14876" max="14877" width="3.6640625" style="4" customWidth="1"/>
    <col min="14878" max="14878" width="2.33203125" style="4" customWidth="1"/>
    <col min="14879" max="14879" width="3.6640625" style="4" customWidth="1"/>
    <col min="14880" max="14880" width="9.6640625" style="4" customWidth="1"/>
    <col min="14881" max="14890" width="3.6640625" style="4" customWidth="1"/>
    <col min="14891" max="14891" width="11" style="4" customWidth="1"/>
    <col min="14892" max="15105" width="8.88671875" style="4"/>
    <col min="15106" max="15106" width="3.6640625" style="4" customWidth="1"/>
    <col min="15107" max="15107" width="2.33203125" style="4" customWidth="1"/>
    <col min="15108" max="15109" width="3.6640625" style="4" customWidth="1"/>
    <col min="15110" max="15110" width="2.33203125" style="4" customWidth="1"/>
    <col min="15111" max="15112" width="3.6640625" style="4" customWidth="1"/>
    <col min="15113" max="15113" width="2.33203125" style="4" customWidth="1"/>
    <col min="15114" max="15115" width="3.6640625" style="4" customWidth="1"/>
    <col min="15116" max="15116" width="2.33203125" style="4" customWidth="1"/>
    <col min="15117" max="15118" width="3.6640625" style="4" customWidth="1"/>
    <col min="15119" max="15119" width="2.33203125" style="4" customWidth="1"/>
    <col min="15120" max="15121" width="3.6640625" style="4" customWidth="1"/>
    <col min="15122" max="15122" width="2.33203125" style="4" customWidth="1"/>
    <col min="15123" max="15124" width="3.6640625" style="4" customWidth="1"/>
    <col min="15125" max="15125" width="2.33203125" style="4" customWidth="1"/>
    <col min="15126" max="15127" width="3.6640625" style="4" customWidth="1"/>
    <col min="15128" max="15128" width="2.33203125" style="4" customWidth="1"/>
    <col min="15129" max="15130" width="3.6640625" style="4" customWidth="1"/>
    <col min="15131" max="15131" width="2.33203125" style="4" customWidth="1"/>
    <col min="15132" max="15133" width="3.6640625" style="4" customWidth="1"/>
    <col min="15134" max="15134" width="2.33203125" style="4" customWidth="1"/>
    <col min="15135" max="15135" width="3.6640625" style="4" customWidth="1"/>
    <col min="15136" max="15136" width="9.6640625" style="4" customWidth="1"/>
    <col min="15137" max="15146" width="3.6640625" style="4" customWidth="1"/>
    <col min="15147" max="15147" width="11" style="4" customWidth="1"/>
    <col min="15148" max="15361" width="8.88671875" style="4"/>
    <col min="15362" max="15362" width="3.6640625" style="4" customWidth="1"/>
    <col min="15363" max="15363" width="2.33203125" style="4" customWidth="1"/>
    <col min="15364" max="15365" width="3.6640625" style="4" customWidth="1"/>
    <col min="15366" max="15366" width="2.33203125" style="4" customWidth="1"/>
    <col min="15367" max="15368" width="3.6640625" style="4" customWidth="1"/>
    <col min="15369" max="15369" width="2.33203125" style="4" customWidth="1"/>
    <col min="15370" max="15371" width="3.6640625" style="4" customWidth="1"/>
    <col min="15372" max="15372" width="2.33203125" style="4" customWidth="1"/>
    <col min="15373" max="15374" width="3.6640625" style="4" customWidth="1"/>
    <col min="15375" max="15375" width="2.33203125" style="4" customWidth="1"/>
    <col min="15376" max="15377" width="3.6640625" style="4" customWidth="1"/>
    <col min="15378" max="15378" width="2.33203125" style="4" customWidth="1"/>
    <col min="15379" max="15380" width="3.6640625" style="4" customWidth="1"/>
    <col min="15381" max="15381" width="2.33203125" style="4" customWidth="1"/>
    <col min="15382" max="15383" width="3.6640625" style="4" customWidth="1"/>
    <col min="15384" max="15384" width="2.33203125" style="4" customWidth="1"/>
    <col min="15385" max="15386" width="3.6640625" style="4" customWidth="1"/>
    <col min="15387" max="15387" width="2.33203125" style="4" customWidth="1"/>
    <col min="15388" max="15389" width="3.6640625" style="4" customWidth="1"/>
    <col min="15390" max="15390" width="2.33203125" style="4" customWidth="1"/>
    <col min="15391" max="15391" width="3.6640625" style="4" customWidth="1"/>
    <col min="15392" max="15392" width="9.6640625" style="4" customWidth="1"/>
    <col min="15393" max="15402" width="3.6640625" style="4" customWidth="1"/>
    <col min="15403" max="15403" width="11" style="4" customWidth="1"/>
    <col min="15404" max="15617" width="8.88671875" style="4"/>
    <col min="15618" max="15618" width="3.6640625" style="4" customWidth="1"/>
    <col min="15619" max="15619" width="2.33203125" style="4" customWidth="1"/>
    <col min="15620" max="15621" width="3.6640625" style="4" customWidth="1"/>
    <col min="15622" max="15622" width="2.33203125" style="4" customWidth="1"/>
    <col min="15623" max="15624" width="3.6640625" style="4" customWidth="1"/>
    <col min="15625" max="15625" width="2.33203125" style="4" customWidth="1"/>
    <col min="15626" max="15627" width="3.6640625" style="4" customWidth="1"/>
    <col min="15628" max="15628" width="2.33203125" style="4" customWidth="1"/>
    <col min="15629" max="15630" width="3.6640625" style="4" customWidth="1"/>
    <col min="15631" max="15631" width="2.33203125" style="4" customWidth="1"/>
    <col min="15632" max="15633" width="3.6640625" style="4" customWidth="1"/>
    <col min="15634" max="15634" width="2.33203125" style="4" customWidth="1"/>
    <col min="15635" max="15636" width="3.6640625" style="4" customWidth="1"/>
    <col min="15637" max="15637" width="2.33203125" style="4" customWidth="1"/>
    <col min="15638" max="15639" width="3.6640625" style="4" customWidth="1"/>
    <col min="15640" max="15640" width="2.33203125" style="4" customWidth="1"/>
    <col min="15641" max="15642" width="3.6640625" style="4" customWidth="1"/>
    <col min="15643" max="15643" width="2.33203125" style="4" customWidth="1"/>
    <col min="15644" max="15645" width="3.6640625" style="4" customWidth="1"/>
    <col min="15646" max="15646" width="2.33203125" style="4" customWidth="1"/>
    <col min="15647" max="15647" width="3.6640625" style="4" customWidth="1"/>
    <col min="15648" max="15648" width="9.6640625" style="4" customWidth="1"/>
    <col min="15649" max="15658" width="3.6640625" style="4" customWidth="1"/>
    <col min="15659" max="15659" width="11" style="4" customWidth="1"/>
    <col min="15660" max="15873" width="8.88671875" style="4"/>
    <col min="15874" max="15874" width="3.6640625" style="4" customWidth="1"/>
    <col min="15875" max="15875" width="2.33203125" style="4" customWidth="1"/>
    <col min="15876" max="15877" width="3.6640625" style="4" customWidth="1"/>
    <col min="15878" max="15878" width="2.33203125" style="4" customWidth="1"/>
    <col min="15879" max="15880" width="3.6640625" style="4" customWidth="1"/>
    <col min="15881" max="15881" width="2.33203125" style="4" customWidth="1"/>
    <col min="15882" max="15883" width="3.6640625" style="4" customWidth="1"/>
    <col min="15884" max="15884" width="2.33203125" style="4" customWidth="1"/>
    <col min="15885" max="15886" width="3.6640625" style="4" customWidth="1"/>
    <col min="15887" max="15887" width="2.33203125" style="4" customWidth="1"/>
    <col min="15888" max="15889" width="3.6640625" style="4" customWidth="1"/>
    <col min="15890" max="15890" width="2.33203125" style="4" customWidth="1"/>
    <col min="15891" max="15892" width="3.6640625" style="4" customWidth="1"/>
    <col min="15893" max="15893" width="2.33203125" style="4" customWidth="1"/>
    <col min="15894" max="15895" width="3.6640625" style="4" customWidth="1"/>
    <col min="15896" max="15896" width="2.33203125" style="4" customWidth="1"/>
    <col min="15897" max="15898" width="3.6640625" style="4" customWidth="1"/>
    <col min="15899" max="15899" width="2.33203125" style="4" customWidth="1"/>
    <col min="15900" max="15901" width="3.6640625" style="4" customWidth="1"/>
    <col min="15902" max="15902" width="2.33203125" style="4" customWidth="1"/>
    <col min="15903" max="15903" width="3.6640625" style="4" customWidth="1"/>
    <col min="15904" max="15904" width="9.6640625" style="4" customWidth="1"/>
    <col min="15905" max="15914" width="3.6640625" style="4" customWidth="1"/>
    <col min="15915" max="15915" width="11" style="4" customWidth="1"/>
    <col min="15916" max="16129" width="8.88671875" style="4"/>
    <col min="16130" max="16130" width="3.6640625" style="4" customWidth="1"/>
    <col min="16131" max="16131" width="2.33203125" style="4" customWidth="1"/>
    <col min="16132" max="16133" width="3.6640625" style="4" customWidth="1"/>
    <col min="16134" max="16134" width="2.33203125" style="4" customWidth="1"/>
    <col min="16135" max="16136" width="3.6640625" style="4" customWidth="1"/>
    <col min="16137" max="16137" width="2.33203125" style="4" customWidth="1"/>
    <col min="16138" max="16139" width="3.6640625" style="4" customWidth="1"/>
    <col min="16140" max="16140" width="2.33203125" style="4" customWidth="1"/>
    <col min="16141" max="16142" width="3.6640625" style="4" customWidth="1"/>
    <col min="16143" max="16143" width="2.33203125" style="4" customWidth="1"/>
    <col min="16144" max="16145" width="3.6640625" style="4" customWidth="1"/>
    <col min="16146" max="16146" width="2.33203125" style="4" customWidth="1"/>
    <col min="16147" max="16148" width="3.6640625" style="4" customWidth="1"/>
    <col min="16149" max="16149" width="2.33203125" style="4" customWidth="1"/>
    <col min="16150" max="16151" width="3.6640625" style="4" customWidth="1"/>
    <col min="16152" max="16152" width="2.33203125" style="4" customWidth="1"/>
    <col min="16153" max="16154" width="3.6640625" style="4" customWidth="1"/>
    <col min="16155" max="16155" width="2.33203125" style="4" customWidth="1"/>
    <col min="16156" max="16157" width="3.6640625" style="4" customWidth="1"/>
    <col min="16158" max="16158" width="2.33203125" style="4" customWidth="1"/>
    <col min="16159" max="16159" width="3.6640625" style="4" customWidth="1"/>
    <col min="16160" max="16160" width="9.6640625" style="4" customWidth="1"/>
    <col min="16161" max="16170" width="3.6640625" style="4" customWidth="1"/>
    <col min="16171" max="16171" width="11" style="4" customWidth="1"/>
    <col min="16172" max="16384" width="8.88671875" style="4"/>
  </cols>
  <sheetData>
    <row r="1" spans="1:53" ht="13.8" thickBot="1" x14ac:dyDescent="0.3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1"/>
      <c r="AK1" s="1"/>
      <c r="AL1" s="1"/>
      <c r="AM1" s="1"/>
      <c r="AN1" s="1"/>
      <c r="AO1" s="1"/>
      <c r="AP1" s="1"/>
      <c r="AQ1" s="2" t="s">
        <v>1</v>
      </c>
      <c r="AR1" s="3"/>
      <c r="AT1" s="282" t="s">
        <v>2</v>
      </c>
      <c r="AU1" s="283"/>
      <c r="AV1" s="284"/>
      <c r="AZ1" s="5" t="s">
        <v>3</v>
      </c>
      <c r="BA1" s="4">
        <v>16</v>
      </c>
    </row>
    <row r="2" spans="1:53" ht="18.75" customHeight="1" thickBot="1" x14ac:dyDescent="0.35">
      <c r="A2" s="285" t="s">
        <v>4</v>
      </c>
      <c r="B2" s="286"/>
      <c r="C2" s="286"/>
      <c r="D2" s="286"/>
      <c r="E2" s="286"/>
      <c r="F2" s="286"/>
      <c r="G2" s="286"/>
      <c r="H2" s="286"/>
      <c r="I2" s="287"/>
      <c r="J2" s="288" t="s">
        <v>5</v>
      </c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90"/>
      <c r="Y2" s="291" t="s">
        <v>6</v>
      </c>
      <c r="Z2" s="292"/>
      <c r="AA2" s="292"/>
      <c r="AB2" s="292"/>
      <c r="AC2" s="293"/>
      <c r="AD2" s="265"/>
      <c r="AE2" s="265"/>
      <c r="AF2" s="265"/>
      <c r="AG2" s="265"/>
      <c r="AH2" s="265"/>
      <c r="AI2" s="266"/>
      <c r="AJ2" s="6"/>
      <c r="AK2" s="6"/>
      <c r="AL2" s="6"/>
      <c r="AM2" s="6"/>
      <c r="AN2" s="6"/>
      <c r="AO2" s="6"/>
      <c r="AP2" s="6"/>
      <c r="AQ2" s="6"/>
      <c r="AR2" s="3"/>
      <c r="AT2" s="7" t="s">
        <v>7</v>
      </c>
      <c r="AU2" s="8" t="s">
        <v>8</v>
      </c>
      <c r="AV2" s="9" t="s">
        <v>9</v>
      </c>
      <c r="AW2" s="10" t="s">
        <v>10</v>
      </c>
      <c r="AX2" s="11" t="s">
        <v>11</v>
      </c>
      <c r="AY2" s="10" t="s">
        <v>12</v>
      </c>
      <c r="AZ2" s="5" t="s">
        <v>13</v>
      </c>
      <c r="BA2" s="4">
        <v>16</v>
      </c>
    </row>
    <row r="3" spans="1:53" ht="18.75" customHeight="1" thickBot="1" x14ac:dyDescent="0.35">
      <c r="A3" s="12" t="s">
        <v>14</v>
      </c>
      <c r="B3" s="267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9"/>
      <c r="P3" s="270" t="s">
        <v>15</v>
      </c>
      <c r="Q3" s="271"/>
      <c r="R3" s="271"/>
      <c r="S3" s="272"/>
      <c r="T3" s="273"/>
      <c r="U3" s="273"/>
      <c r="V3" s="273"/>
      <c r="W3" s="273"/>
      <c r="X3" s="274"/>
      <c r="Y3" s="275" t="s">
        <v>16</v>
      </c>
      <c r="Z3" s="276"/>
      <c r="AA3" s="276"/>
      <c r="AB3" s="276"/>
      <c r="AC3" s="276"/>
      <c r="AD3" s="277"/>
      <c r="AE3" s="278" t="s">
        <v>17</v>
      </c>
      <c r="AF3" s="279"/>
      <c r="AG3" s="279" t="s">
        <v>18</v>
      </c>
      <c r="AH3" s="279"/>
      <c r="AI3" s="280"/>
      <c r="AJ3" s="6"/>
      <c r="AK3" s="6"/>
      <c r="AL3" s="6"/>
      <c r="AM3" s="6"/>
      <c r="AN3" s="6"/>
      <c r="AO3" s="6"/>
      <c r="AP3" s="6"/>
      <c r="AQ3" s="6"/>
      <c r="AR3" s="3"/>
      <c r="AT3" s="13">
        <v>1</v>
      </c>
      <c r="AU3" s="298" t="s">
        <v>469</v>
      </c>
      <c r="AV3" s="298" t="s">
        <v>470</v>
      </c>
      <c r="AW3" s="15">
        <f>VLOOKUP(AV3,'PM r1'!AV$3:AX$12, 3, FALSE)</f>
        <v>1230.5154731351377</v>
      </c>
      <c r="AX3" s="16">
        <f>VLOOKUP(AU3,AT$79:AU$174,2,FALSE)</f>
        <v>1223.6919791768021</v>
      </c>
      <c r="AY3" s="17">
        <f>IF(ISNA(VLOOKUP(AU3,AT$186:AU$286,2,FALSE)),AX3,VLOOKUP(AU3,AT$186:AU$286,2,FALSE))</f>
        <v>1223.6919791768021</v>
      </c>
    </row>
    <row r="4" spans="1:53" ht="24" customHeight="1" thickBot="1" x14ac:dyDescent="0.3">
      <c r="A4" s="258" t="s">
        <v>19</v>
      </c>
      <c r="B4" s="259"/>
      <c r="C4" s="259"/>
      <c r="D4" s="260"/>
      <c r="E4" s="261"/>
      <c r="F4" s="262"/>
      <c r="G4" s="262"/>
      <c r="H4" s="262"/>
      <c r="I4" s="262"/>
      <c r="J4" s="262"/>
      <c r="K4" s="262"/>
      <c r="L4" s="262"/>
      <c r="M4" s="263"/>
      <c r="N4" s="258" t="s">
        <v>20</v>
      </c>
      <c r="O4" s="259"/>
      <c r="P4" s="259"/>
      <c r="Q4" s="260"/>
      <c r="R4" s="264"/>
      <c r="S4" s="265"/>
      <c r="T4" s="265"/>
      <c r="U4" s="265"/>
      <c r="V4" s="265"/>
      <c r="W4" s="265"/>
      <c r="X4" s="265"/>
      <c r="Y4" s="265"/>
      <c r="Z4" s="265"/>
      <c r="AA4" s="266"/>
      <c r="AB4" s="258" t="s">
        <v>21</v>
      </c>
      <c r="AC4" s="259"/>
      <c r="AD4" s="259"/>
      <c r="AE4" s="260"/>
      <c r="AF4" s="264"/>
      <c r="AG4" s="265"/>
      <c r="AH4" s="265"/>
      <c r="AI4" s="266"/>
      <c r="AJ4" s="6"/>
      <c r="AK4" s="6"/>
      <c r="AL4" s="6"/>
      <c r="AM4" s="6"/>
      <c r="AN4" s="6"/>
      <c r="AO4" s="6"/>
      <c r="AP4" s="6"/>
      <c r="AQ4" s="6"/>
      <c r="AR4" s="3"/>
      <c r="AT4" s="18">
        <v>2</v>
      </c>
      <c r="AU4" s="298" t="s">
        <v>463</v>
      </c>
      <c r="AV4" s="298" t="s">
        <v>464</v>
      </c>
      <c r="AW4" s="15">
        <f>VLOOKUP(AV4,'PM r1'!AV$3:AX$12, 3, FALSE)</f>
        <v>1182.2992844711323</v>
      </c>
      <c r="AX4" s="19">
        <f>VLOOKUP(AU4,AT$79:AU$174,2,FALSE)</f>
        <v>1191.5286506498262</v>
      </c>
      <c r="AY4" s="20">
        <f>IF(ISNA(VLOOKUP(AU4,AT$186:AU$286,2,FALSE)),AX4,VLOOKUP(AU4,AT$186:AU$286,2,FALSE))</f>
        <v>1191.5286506498262</v>
      </c>
    </row>
    <row r="5" spans="1:53" ht="15.6" thickBot="1" x14ac:dyDescent="0.3">
      <c r="A5" s="1" t="s">
        <v>24</v>
      </c>
      <c r="B5" s="255" t="s">
        <v>24</v>
      </c>
      <c r="C5" s="256"/>
      <c r="D5" s="256"/>
      <c r="E5" s="256"/>
      <c r="F5" s="256"/>
      <c r="G5" s="256"/>
      <c r="H5" s="256"/>
      <c r="I5" s="256"/>
      <c r="J5" s="256"/>
      <c r="K5" s="257" t="s">
        <v>24</v>
      </c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3"/>
      <c r="AT5" s="18">
        <v>3</v>
      </c>
      <c r="AU5" s="298" t="s">
        <v>459</v>
      </c>
      <c r="AV5" s="298" t="s">
        <v>460</v>
      </c>
      <c r="AW5" s="15">
        <f>VLOOKUP(AV5,'PM r1'!AV$3:AX$12, 3, FALSE)</f>
        <v>1223.1136240322348</v>
      </c>
      <c r="AX5" s="19">
        <f>VLOOKUP(AU5,AT$79:AU$174,2,FALSE)</f>
        <v>1228.0201576130883</v>
      </c>
      <c r="AY5" s="20">
        <f>IF(ISNA(VLOOKUP(AU5,AT$186:AU$286,2,FALSE)),AX5,VLOOKUP(AU5,AT$186:AU$286,2,FALSE))</f>
        <v>1228.0201576130883</v>
      </c>
    </row>
    <row r="6" spans="1:53" ht="24" customHeight="1" thickBot="1" x14ac:dyDescent="0.3">
      <c r="A6" s="21" t="s">
        <v>26</v>
      </c>
      <c r="B6" s="22" t="s">
        <v>27</v>
      </c>
      <c r="C6" s="230" t="s">
        <v>28</v>
      </c>
      <c r="D6" s="231"/>
      <c r="E6" s="231"/>
      <c r="F6" s="231"/>
      <c r="G6" s="231"/>
      <c r="H6" s="232"/>
      <c r="I6" s="233">
        <v>1</v>
      </c>
      <c r="J6" s="234"/>
      <c r="K6" s="235" t="str">
        <f>"Pool "&amp;B6&amp;" - Round 1 - Court "&amp;I6</f>
        <v>Pool AA - Round 1 - Court 1</v>
      </c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7"/>
      <c r="AJ6" s="6"/>
      <c r="AK6" s="6"/>
      <c r="AL6" s="6"/>
      <c r="AM6" s="6"/>
      <c r="AN6" s="6"/>
      <c r="AO6" s="6"/>
      <c r="AP6" s="6"/>
      <c r="AQ6" s="6"/>
      <c r="AT6" s="18">
        <v>4</v>
      </c>
      <c r="AU6" s="298" t="s">
        <v>465</v>
      </c>
      <c r="AV6" s="298" t="s">
        <v>466</v>
      </c>
      <c r="AW6" s="15">
        <f>VLOOKUP(AV6,'PM r1'!AV$3:AX$12, 3, FALSE)</f>
        <v>1223.116601965821</v>
      </c>
      <c r="AX6" s="19">
        <f>VLOOKUP(AU6,AT$79:AU$174,2,FALSE)</f>
        <v>1232.9485890312642</v>
      </c>
      <c r="AY6" s="20">
        <f>IF(ISNA(VLOOKUP(AU6,AT$186:AU$286,2,FALSE)),AX6,VLOOKUP(AU6,AT$186:AU$286,2,FALSE))</f>
        <v>1232.9485890312642</v>
      </c>
    </row>
    <row r="7" spans="1:53" ht="27" customHeight="1" thickBot="1" x14ac:dyDescent="0.3">
      <c r="A7" s="23" t="s">
        <v>31</v>
      </c>
      <c r="B7" s="238" t="s">
        <v>8</v>
      </c>
      <c r="C7" s="239"/>
      <c r="D7" s="239"/>
      <c r="E7" s="239"/>
      <c r="F7" s="239"/>
      <c r="G7" s="239"/>
      <c r="H7" s="239"/>
      <c r="I7" s="239"/>
      <c r="J7" s="239"/>
      <c r="K7" s="239"/>
      <c r="L7" s="238" t="str">
        <f>IF($AK10=0,"Games Won","Matches Won")</f>
        <v>Matches Won</v>
      </c>
      <c r="M7" s="239"/>
      <c r="N7" s="239"/>
      <c r="O7" s="239"/>
      <c r="P7" s="239"/>
      <c r="Q7" s="240"/>
      <c r="R7" s="238" t="str">
        <f>IF($AK10=0,"Games Lost","Matches Lost")</f>
        <v>Matches Lost</v>
      </c>
      <c r="S7" s="241"/>
      <c r="T7" s="241"/>
      <c r="U7" s="241"/>
      <c r="V7" s="242"/>
      <c r="W7" s="243" t="s">
        <v>32</v>
      </c>
      <c r="X7" s="244"/>
      <c r="Y7" s="245"/>
      <c r="Z7" s="243" t="s">
        <v>33</v>
      </c>
      <c r="AA7" s="244"/>
      <c r="AB7" s="245"/>
      <c r="AC7" s="246" t="s">
        <v>34</v>
      </c>
      <c r="AD7" s="247"/>
      <c r="AE7" s="248"/>
      <c r="AF7" s="24" t="s">
        <v>35</v>
      </c>
      <c r="AG7" s="25" t="s">
        <v>7</v>
      </c>
      <c r="AH7" s="228" t="s">
        <v>36</v>
      </c>
      <c r="AI7" s="229"/>
      <c r="AJ7" s="26"/>
      <c r="AK7" s="27">
        <v>1</v>
      </c>
      <c r="AL7" s="28" t="s">
        <v>37</v>
      </c>
      <c r="AM7" s="28"/>
      <c r="AN7" s="28"/>
      <c r="AO7" s="28"/>
      <c r="AP7" s="28"/>
      <c r="AQ7" s="28"/>
      <c r="AR7" s="29"/>
      <c r="AT7" s="18">
        <v>5</v>
      </c>
      <c r="AU7" s="298" t="s">
        <v>207</v>
      </c>
      <c r="AV7" s="298" t="s">
        <v>461</v>
      </c>
      <c r="AW7" s="15">
        <f>VLOOKUP(AV7,'PM r1'!AV$3:AX$12, 3, FALSE)</f>
        <v>1307.5745496164714</v>
      </c>
      <c r="AX7" s="19">
        <f>VLOOKUP(AU7,AT$79:AU$174,2,FALSE)</f>
        <v>1309.2757150235238</v>
      </c>
      <c r="AY7" s="20">
        <f>IF(ISNA(VLOOKUP(AU7,AT$186:AU$286,2,FALSE)),AX7,VLOOKUP(AU7,AT$186:AU$286,2,FALSE))</f>
        <v>1309.2757150235238</v>
      </c>
    </row>
    <row r="8" spans="1:53" ht="18.75" customHeight="1" thickBot="1" x14ac:dyDescent="0.3">
      <c r="A8" s="194" t="str">
        <f>IF($AK9&gt;0,"1","")</f>
        <v>1</v>
      </c>
      <c r="B8" s="225" t="s">
        <v>8</v>
      </c>
      <c r="C8" s="226"/>
      <c r="D8" s="227"/>
      <c r="E8" s="217" t="str">
        <f>AU3</f>
        <v>MBVC 12U Elite Karla</v>
      </c>
      <c r="F8" s="218"/>
      <c r="G8" s="218"/>
      <c r="H8" s="218"/>
      <c r="I8" s="218"/>
      <c r="J8" s="218"/>
      <c r="K8" s="219"/>
      <c r="L8" s="201">
        <f>IF($AK10=0,AF64,AF46)</f>
        <v>1</v>
      </c>
      <c r="M8" s="202"/>
      <c r="N8" s="202"/>
      <c r="O8" s="202"/>
      <c r="P8" s="202"/>
      <c r="Q8" s="240"/>
      <c r="R8" s="201">
        <f>IF($AK10=0,AG64,AG46)</f>
        <v>2</v>
      </c>
      <c r="S8" s="202"/>
      <c r="T8" s="202"/>
      <c r="U8" s="202"/>
      <c r="V8" s="202"/>
      <c r="W8" s="201">
        <f>AQ24</f>
        <v>-10</v>
      </c>
      <c r="X8" s="202"/>
      <c r="Y8" s="202"/>
      <c r="Z8" s="174">
        <f>IF(AF58&gt;0,(AQ24/AF58),0)</f>
        <v>-0.17241379310344829</v>
      </c>
      <c r="AA8" s="175"/>
      <c r="AB8" s="175"/>
      <c r="AC8" s="178">
        <f>IF(AF72=0,0,(AF64/AF72))</f>
        <v>0.33333333333333331</v>
      </c>
      <c r="AD8" s="179"/>
      <c r="AE8" s="180"/>
      <c r="AF8" s="184">
        <v>3</v>
      </c>
      <c r="AG8" s="184">
        <v>2</v>
      </c>
      <c r="AH8" s="186">
        <v>3</v>
      </c>
      <c r="AI8" s="187"/>
      <c r="AJ8" s="26"/>
      <c r="AK8" s="27">
        <v>6</v>
      </c>
      <c r="AL8" s="28" t="s">
        <v>38</v>
      </c>
      <c r="AM8" s="28"/>
      <c r="AN8" s="28"/>
      <c r="AO8" s="28"/>
      <c r="AP8" s="28"/>
      <c r="AQ8" s="28"/>
      <c r="AR8" s="29"/>
      <c r="AT8" s="18">
        <v>6</v>
      </c>
      <c r="AU8" s="298" t="s">
        <v>467</v>
      </c>
      <c r="AV8" s="298" t="s">
        <v>468</v>
      </c>
      <c r="AW8" s="15">
        <f>VLOOKUP(AV8,'PM r1'!AV$3:AX$12, 3, FALSE)</f>
        <v>1244.7621216501866</v>
      </c>
      <c r="AX8" s="19">
        <f>VLOOKUP(AU8,AT$79:AU$174,2,FALSE)</f>
        <v>1232.4941294996088</v>
      </c>
      <c r="AY8" s="20">
        <f>IF(ISNA(VLOOKUP(AU8,AT$186:AU$286,2,FALSE)),AX8,VLOOKUP(AU8,AT$186:AU$286,2,FALSE))</f>
        <v>1232.4941294996088</v>
      </c>
    </row>
    <row r="9" spans="1:53" ht="18.75" customHeight="1" thickBot="1" x14ac:dyDescent="0.3">
      <c r="A9" s="195"/>
      <c r="B9" s="222" t="s">
        <v>9</v>
      </c>
      <c r="C9" s="223"/>
      <c r="D9" s="224"/>
      <c r="E9" s="215" t="str">
        <f>AV3</f>
        <v>FJ2MBEAC1PM</v>
      </c>
      <c r="F9" s="216"/>
      <c r="G9" s="216"/>
      <c r="H9" s="216"/>
      <c r="I9" s="216"/>
      <c r="J9" s="216"/>
      <c r="K9" s="216"/>
      <c r="L9" s="220"/>
      <c r="M9" s="221"/>
      <c r="N9" s="221"/>
      <c r="O9" s="221"/>
      <c r="P9" s="221"/>
      <c r="Q9" s="240"/>
      <c r="R9" s="220"/>
      <c r="S9" s="221"/>
      <c r="T9" s="221"/>
      <c r="U9" s="221"/>
      <c r="V9" s="221"/>
      <c r="W9" s="220"/>
      <c r="X9" s="221"/>
      <c r="Y9" s="221"/>
      <c r="Z9" s="205"/>
      <c r="AA9" s="206"/>
      <c r="AB9" s="206"/>
      <c r="AC9" s="207"/>
      <c r="AD9" s="208"/>
      <c r="AE9" s="209"/>
      <c r="AF9" s="210"/>
      <c r="AG9" s="210"/>
      <c r="AH9" s="211"/>
      <c r="AI9" s="212"/>
      <c r="AJ9" s="26"/>
      <c r="AK9" s="27">
        <v>4</v>
      </c>
      <c r="AL9" s="28" t="s">
        <v>39</v>
      </c>
      <c r="AM9" s="26"/>
      <c r="AN9" s="26"/>
      <c r="AO9" s="26"/>
      <c r="AP9" s="26"/>
      <c r="AQ9" s="26"/>
      <c r="AR9" s="3"/>
      <c r="AT9" s="18">
        <v>7</v>
      </c>
      <c r="AU9" s="298" t="s">
        <v>202</v>
      </c>
      <c r="AV9" s="298" t="s">
        <v>462</v>
      </c>
      <c r="AW9" s="15">
        <f>VLOOKUP(AV9,'PM r1'!AV$3:AX$12, 3, FALSE)</f>
        <v>1134.0505608585845</v>
      </c>
      <c r="AX9" s="19">
        <f>VLOOKUP(AU9,AT$79:AU$174,2,FALSE)</f>
        <v>1132.182653249615</v>
      </c>
      <c r="AY9" s="20">
        <f>IF(ISNA(VLOOKUP(AU9,AT$186:AU$286,2,FALSE)),AX9,VLOOKUP(AU9,AT$186:AU$286,2,FALSE))</f>
        <v>1132.182653249615</v>
      </c>
    </row>
    <row r="10" spans="1:53" ht="18.75" customHeight="1" thickBot="1" x14ac:dyDescent="0.3">
      <c r="A10" s="194" t="str">
        <f>IF($AK9&gt;1,"2","")</f>
        <v>2</v>
      </c>
      <c r="B10" s="225" t="s">
        <v>8</v>
      </c>
      <c r="C10" s="226"/>
      <c r="D10" s="227"/>
      <c r="E10" s="217" t="str">
        <f>AU6</f>
        <v>Foothills 12 Cait</v>
      </c>
      <c r="F10" s="218"/>
      <c r="G10" s="218"/>
      <c r="H10" s="218"/>
      <c r="I10" s="218"/>
      <c r="J10" s="218"/>
      <c r="K10" s="219"/>
      <c r="L10" s="201">
        <f>IF($AK10=0,AF65,AF47)</f>
        <v>2</v>
      </c>
      <c r="M10" s="202"/>
      <c r="N10" s="202"/>
      <c r="O10" s="202"/>
      <c r="P10" s="202"/>
      <c r="Q10" s="240"/>
      <c r="R10" s="201">
        <f>IF($AK10=0,AG65,AG47)</f>
        <v>1</v>
      </c>
      <c r="S10" s="202"/>
      <c r="T10" s="202"/>
      <c r="U10" s="202"/>
      <c r="V10" s="202"/>
      <c r="W10" s="201">
        <f>AQ25</f>
        <v>10</v>
      </c>
      <c r="X10" s="202"/>
      <c r="Y10" s="202"/>
      <c r="Z10" s="174">
        <f>IF(AF59&gt;0,(AQ25/AF59),0)</f>
        <v>0.15873015873015872</v>
      </c>
      <c r="AA10" s="175"/>
      <c r="AB10" s="175"/>
      <c r="AC10" s="178">
        <f>IF(AF73=0,0,(AF65/AF73))</f>
        <v>0.66666666666666663</v>
      </c>
      <c r="AD10" s="179"/>
      <c r="AE10" s="180"/>
      <c r="AF10" s="184">
        <v>2</v>
      </c>
      <c r="AG10" s="184">
        <v>2</v>
      </c>
      <c r="AH10" s="186">
        <v>1</v>
      </c>
      <c r="AI10" s="187"/>
      <c r="AJ10" s="26"/>
      <c r="AK10" s="27">
        <v>1</v>
      </c>
      <c r="AL10" s="28" t="s">
        <v>42</v>
      </c>
      <c r="AM10" s="28"/>
      <c r="AN10" s="28"/>
      <c r="AO10" s="28"/>
      <c r="AP10" s="28"/>
      <c r="AQ10" s="28"/>
      <c r="AR10" s="29"/>
      <c r="AT10" s="18">
        <v>8</v>
      </c>
      <c r="AU10" s="298" t="s">
        <v>457</v>
      </c>
      <c r="AV10" s="298" t="s">
        <v>458</v>
      </c>
      <c r="AW10" s="15">
        <f>VLOOKUP(AV10,'PM r1'!AV$3:AX$12, 3, FALSE)</f>
        <v>1214.3094996726038</v>
      </c>
      <c r="AX10" s="19">
        <f>VLOOKUP(AU10,AT$79:AU$174,2,FALSE)</f>
        <v>1209.5998411584437</v>
      </c>
      <c r="AY10" s="20">
        <f>IF(ISNA(VLOOKUP(AU10,AT$186:AU$286,2,FALSE)),AX10,VLOOKUP(AU10,AT$186:AU$286,2,FALSE))</f>
        <v>1209.5998411584437</v>
      </c>
    </row>
    <row r="11" spans="1:53" ht="18.75" customHeight="1" thickBot="1" x14ac:dyDescent="0.3">
      <c r="A11" s="195"/>
      <c r="B11" s="213" t="s">
        <v>9</v>
      </c>
      <c r="C11" s="214"/>
      <c r="D11" s="214"/>
      <c r="E11" s="215" t="str">
        <f>AV6</f>
        <v>FJ2FootH4PM</v>
      </c>
      <c r="F11" s="216"/>
      <c r="G11" s="216"/>
      <c r="H11" s="216"/>
      <c r="I11" s="216"/>
      <c r="J11" s="216"/>
      <c r="K11" s="216"/>
      <c r="L11" s="220"/>
      <c r="M11" s="221"/>
      <c r="N11" s="221"/>
      <c r="O11" s="221"/>
      <c r="P11" s="221"/>
      <c r="Q11" s="240"/>
      <c r="R11" s="220"/>
      <c r="S11" s="221"/>
      <c r="T11" s="221"/>
      <c r="U11" s="221"/>
      <c r="V11" s="221"/>
      <c r="W11" s="220"/>
      <c r="X11" s="221"/>
      <c r="Y11" s="221"/>
      <c r="Z11" s="205"/>
      <c r="AA11" s="206"/>
      <c r="AB11" s="206"/>
      <c r="AC11" s="207"/>
      <c r="AD11" s="208"/>
      <c r="AE11" s="209"/>
      <c r="AF11" s="210"/>
      <c r="AG11" s="210"/>
      <c r="AH11" s="211"/>
      <c r="AI11" s="212"/>
      <c r="AJ11" s="26"/>
      <c r="AK11" s="27">
        <v>1</v>
      </c>
      <c r="AL11" s="28" t="s">
        <v>44</v>
      </c>
      <c r="AM11" s="26"/>
      <c r="AN11" s="26"/>
      <c r="AO11" s="26"/>
      <c r="AP11" s="26"/>
      <c r="AQ11" s="26"/>
      <c r="AR11" s="3"/>
      <c r="AT11" s="18">
        <v>9</v>
      </c>
      <c r="AU11" s="14"/>
      <c r="AV11" s="14"/>
      <c r="AW11" s="15" t="e">
        <f>VLOOKUP(AV11,'PM r1'!AV$3:AX$11,3,FALSE)</f>
        <v>#N/A</v>
      </c>
      <c r="AX11" s="19" t="e">
        <f>VLOOKUP(AU11,AT$79:AU$174,2,FALSE)</f>
        <v>#N/A</v>
      </c>
      <c r="AY11" s="20" t="e">
        <f>IF(ISNA(VLOOKUP(AU11,AT$186:AU$286,2,FALSE)),AX11,VLOOKUP(AU11,AT$186:AU$286,2,FALSE))</f>
        <v>#N/A</v>
      </c>
    </row>
    <row r="12" spans="1:53" ht="18.75" customHeight="1" x14ac:dyDescent="0.25">
      <c r="A12" s="194" t="str">
        <f>IF($AK9&gt;2,"3","")</f>
        <v>3</v>
      </c>
      <c r="B12" s="196" t="s">
        <v>8</v>
      </c>
      <c r="C12" s="197"/>
      <c r="D12" s="197"/>
      <c r="E12" s="217" t="str">
        <f>AU7</f>
        <v>SC Midlands KP Garnet</v>
      </c>
      <c r="F12" s="218"/>
      <c r="G12" s="218"/>
      <c r="H12" s="218"/>
      <c r="I12" s="218"/>
      <c r="J12" s="218"/>
      <c r="K12" s="219"/>
      <c r="L12" s="201">
        <f>IF($AK10=0,AF66,AF48)</f>
        <v>2</v>
      </c>
      <c r="M12" s="202"/>
      <c r="N12" s="202"/>
      <c r="O12" s="202"/>
      <c r="P12" s="202"/>
      <c r="Q12" s="240"/>
      <c r="R12" s="201">
        <f>IF($AK10=0,AG66,AG48)</f>
        <v>1</v>
      </c>
      <c r="S12" s="202"/>
      <c r="T12" s="202"/>
      <c r="U12" s="202"/>
      <c r="V12" s="202"/>
      <c r="W12" s="201">
        <f>AQ26</f>
        <v>10</v>
      </c>
      <c r="X12" s="202"/>
      <c r="Y12" s="202"/>
      <c r="Z12" s="174">
        <f>IF(AF60&gt;0,(AQ26/AF60),0)</f>
        <v>0.17241379310344829</v>
      </c>
      <c r="AA12" s="175"/>
      <c r="AB12" s="175"/>
      <c r="AC12" s="178">
        <f>IF(AF74=0,0,(AF66/AF74))</f>
        <v>0.66666666666666663</v>
      </c>
      <c r="AD12" s="179"/>
      <c r="AE12" s="180"/>
      <c r="AF12" s="184">
        <v>1</v>
      </c>
      <c r="AG12" s="184">
        <v>2</v>
      </c>
      <c r="AH12" s="186">
        <v>2</v>
      </c>
      <c r="AI12" s="187"/>
      <c r="AJ12" s="30"/>
      <c r="AK12" s="27">
        <v>3</v>
      </c>
      <c r="AL12" s="31" t="s">
        <v>45</v>
      </c>
      <c r="AM12" s="28"/>
      <c r="AN12" s="28"/>
      <c r="AO12" s="28"/>
      <c r="AP12" s="28"/>
      <c r="AQ12" s="28"/>
      <c r="AR12" s="29"/>
    </row>
    <row r="13" spans="1:53" ht="18.75" customHeight="1" thickBot="1" x14ac:dyDescent="0.3">
      <c r="A13" s="195"/>
      <c r="B13" s="213" t="s">
        <v>9</v>
      </c>
      <c r="C13" s="214"/>
      <c r="D13" s="214"/>
      <c r="E13" s="215" t="str">
        <f>AV7</f>
        <v>FJ2SCMID3PM</v>
      </c>
      <c r="F13" s="216"/>
      <c r="G13" s="216"/>
      <c r="H13" s="216"/>
      <c r="I13" s="216"/>
      <c r="J13" s="216"/>
      <c r="K13" s="216"/>
      <c r="L13" s="220"/>
      <c r="M13" s="221"/>
      <c r="N13" s="221"/>
      <c r="O13" s="221"/>
      <c r="P13" s="221"/>
      <c r="Q13" s="240"/>
      <c r="R13" s="220"/>
      <c r="S13" s="221"/>
      <c r="T13" s="221"/>
      <c r="U13" s="221"/>
      <c r="V13" s="221"/>
      <c r="W13" s="220"/>
      <c r="X13" s="221"/>
      <c r="Y13" s="221"/>
      <c r="Z13" s="205"/>
      <c r="AA13" s="206"/>
      <c r="AB13" s="206"/>
      <c r="AC13" s="207"/>
      <c r="AD13" s="208"/>
      <c r="AE13" s="209"/>
      <c r="AF13" s="210"/>
      <c r="AG13" s="210"/>
      <c r="AH13" s="211"/>
      <c r="AI13" s="212"/>
      <c r="AJ13" s="30"/>
      <c r="AK13" s="32"/>
      <c r="AL13" s="33"/>
      <c r="AM13" s="33"/>
      <c r="AN13" s="33"/>
      <c r="AO13" s="33"/>
      <c r="AP13" s="33"/>
      <c r="AQ13" s="26"/>
      <c r="AR13" s="3"/>
    </row>
    <row r="14" spans="1:53" ht="18.75" customHeight="1" thickBot="1" x14ac:dyDescent="0.3">
      <c r="A14" s="194" t="str">
        <f>IF($AK9&gt;3,"4","")</f>
        <v>4</v>
      </c>
      <c r="B14" s="196" t="s">
        <v>8</v>
      </c>
      <c r="C14" s="197"/>
      <c r="D14" s="197"/>
      <c r="E14" s="217" t="str">
        <f>AU10</f>
        <v>Emerald City 12-Dev</v>
      </c>
      <c r="F14" s="218"/>
      <c r="G14" s="218"/>
      <c r="H14" s="218"/>
      <c r="I14" s="218"/>
      <c r="J14" s="218"/>
      <c r="K14" s="219"/>
      <c r="L14" s="201">
        <f>IF($AK10=0,AF67,AF49)</f>
        <v>1</v>
      </c>
      <c r="M14" s="202"/>
      <c r="N14" s="202"/>
      <c r="O14" s="202"/>
      <c r="P14" s="202"/>
      <c r="Q14" s="240"/>
      <c r="R14" s="201">
        <f>IF($AK10=0,AG67,AG49)</f>
        <v>2</v>
      </c>
      <c r="S14" s="202"/>
      <c r="T14" s="202"/>
      <c r="U14" s="202"/>
      <c r="V14" s="202"/>
      <c r="W14" s="201">
        <f>AQ27</f>
        <v>-10</v>
      </c>
      <c r="X14" s="202"/>
      <c r="Y14" s="202"/>
      <c r="Z14" s="174">
        <f>IF(AF61&gt;0,(AQ27/AF61),0)</f>
        <v>-0.16949152542372881</v>
      </c>
      <c r="AA14" s="175"/>
      <c r="AB14" s="175"/>
      <c r="AC14" s="178">
        <f>IF(AF75=0,0,(AF67/AF75))</f>
        <v>0.33333333333333331</v>
      </c>
      <c r="AD14" s="179"/>
      <c r="AE14" s="180"/>
      <c r="AF14" s="184">
        <v>4</v>
      </c>
      <c r="AG14" s="184">
        <v>2</v>
      </c>
      <c r="AH14" s="186"/>
      <c r="AI14" s="187"/>
      <c r="AJ14" s="6"/>
      <c r="AK14" s="33"/>
      <c r="AL14" s="33"/>
      <c r="AM14" s="33"/>
      <c r="AN14" s="33"/>
      <c r="AO14" s="33"/>
      <c r="AP14" s="33"/>
      <c r="AQ14" s="28"/>
      <c r="AR14" s="29"/>
    </row>
    <row r="15" spans="1:53" ht="18.75" customHeight="1" thickBot="1" x14ac:dyDescent="0.3">
      <c r="A15" s="195"/>
      <c r="B15" s="213" t="s">
        <v>9</v>
      </c>
      <c r="C15" s="214"/>
      <c r="D15" s="214"/>
      <c r="E15" s="215" t="str">
        <f>AV10</f>
        <v>FJ2ECITY3PM</v>
      </c>
      <c r="F15" s="216"/>
      <c r="G15" s="216"/>
      <c r="H15" s="216"/>
      <c r="I15" s="216"/>
      <c r="J15" s="216"/>
      <c r="K15" s="216"/>
      <c r="L15" s="220"/>
      <c r="M15" s="221"/>
      <c r="N15" s="221"/>
      <c r="O15" s="221"/>
      <c r="P15" s="221"/>
      <c r="Q15" s="240"/>
      <c r="R15" s="220"/>
      <c r="S15" s="221"/>
      <c r="T15" s="221"/>
      <c r="U15" s="221"/>
      <c r="V15" s="221"/>
      <c r="W15" s="220"/>
      <c r="X15" s="221"/>
      <c r="Y15" s="221"/>
      <c r="Z15" s="205"/>
      <c r="AA15" s="206"/>
      <c r="AB15" s="206"/>
      <c r="AC15" s="207"/>
      <c r="AD15" s="208"/>
      <c r="AE15" s="209"/>
      <c r="AF15" s="210"/>
      <c r="AG15" s="210"/>
      <c r="AH15" s="211"/>
      <c r="AI15" s="212"/>
      <c r="AJ15" s="6"/>
      <c r="AK15" s="33"/>
      <c r="AL15" s="33"/>
      <c r="AM15" s="33"/>
      <c r="AN15" s="33"/>
      <c r="AO15" s="33"/>
      <c r="AP15" s="33"/>
      <c r="AQ15" s="6"/>
      <c r="AR15" s="3"/>
      <c r="AU15" s="298" t="s">
        <v>457</v>
      </c>
      <c r="AV15" s="298" t="s">
        <v>458</v>
      </c>
    </row>
    <row r="16" spans="1:53" ht="18.75" customHeight="1" thickBot="1" x14ac:dyDescent="0.3">
      <c r="A16" s="194" t="str">
        <f>IF($AK9&gt;4,"5","")</f>
        <v/>
      </c>
      <c r="B16" s="196" t="s">
        <v>8</v>
      </c>
      <c r="C16" s="197"/>
      <c r="D16" s="197"/>
      <c r="E16" s="198" t="e">
        <f>#REF!</f>
        <v>#REF!</v>
      </c>
      <c r="F16" s="199"/>
      <c r="G16" s="199"/>
      <c r="H16" s="199"/>
      <c r="I16" s="199"/>
      <c r="J16" s="199"/>
      <c r="K16" s="200"/>
      <c r="L16" s="201">
        <f>IF($AK10=0,AF68,AF50)</f>
        <v>0</v>
      </c>
      <c r="M16" s="202"/>
      <c r="N16" s="202"/>
      <c r="O16" s="202"/>
      <c r="P16" s="202"/>
      <c r="Q16" s="240"/>
      <c r="R16" s="201">
        <f>IF($AK10=0,AG68,AG50)</f>
        <v>0</v>
      </c>
      <c r="S16" s="202"/>
      <c r="T16" s="202"/>
      <c r="U16" s="202"/>
      <c r="V16" s="202"/>
      <c r="W16" s="201">
        <f>AQ28</f>
        <v>0</v>
      </c>
      <c r="X16" s="202"/>
      <c r="Y16" s="202"/>
      <c r="Z16" s="174">
        <f>IF(AF62&gt;0,(AQ28/AF62),0)</f>
        <v>0</v>
      </c>
      <c r="AA16" s="175"/>
      <c r="AB16" s="175"/>
      <c r="AC16" s="178">
        <f>IF(AF76=0,0,(AF68/AF76))</f>
        <v>0</v>
      </c>
      <c r="AD16" s="179"/>
      <c r="AE16" s="180"/>
      <c r="AF16" s="184"/>
      <c r="AG16" s="184"/>
      <c r="AH16" s="186"/>
      <c r="AI16" s="187"/>
      <c r="AJ16" s="6"/>
      <c r="AK16" s="33"/>
      <c r="AL16" s="33"/>
      <c r="AM16" s="33"/>
      <c r="AN16" s="33"/>
      <c r="AO16" s="33"/>
      <c r="AP16" s="33"/>
      <c r="AQ16" s="6"/>
      <c r="AR16" s="3"/>
      <c r="AU16" s="298" t="s">
        <v>459</v>
      </c>
      <c r="AV16" s="298" t="s">
        <v>460</v>
      </c>
    </row>
    <row r="17" spans="1:48" ht="18.75" customHeight="1" thickBot="1" x14ac:dyDescent="0.3">
      <c r="A17" s="195"/>
      <c r="B17" s="190" t="s">
        <v>9</v>
      </c>
      <c r="C17" s="191"/>
      <c r="D17" s="191"/>
      <c r="E17" s="192" t="e">
        <f>#REF!</f>
        <v>#REF!</v>
      </c>
      <c r="F17" s="193"/>
      <c r="G17" s="193"/>
      <c r="H17" s="193"/>
      <c r="I17" s="193"/>
      <c r="J17" s="193"/>
      <c r="K17" s="193"/>
      <c r="L17" s="203"/>
      <c r="M17" s="204"/>
      <c r="N17" s="204"/>
      <c r="O17" s="204"/>
      <c r="P17" s="204"/>
      <c r="Q17" s="240"/>
      <c r="R17" s="203"/>
      <c r="S17" s="204"/>
      <c r="T17" s="204"/>
      <c r="U17" s="204"/>
      <c r="V17" s="204"/>
      <c r="W17" s="203"/>
      <c r="X17" s="204"/>
      <c r="Y17" s="204"/>
      <c r="Z17" s="176"/>
      <c r="AA17" s="177"/>
      <c r="AB17" s="177"/>
      <c r="AC17" s="181"/>
      <c r="AD17" s="182"/>
      <c r="AE17" s="183"/>
      <c r="AF17" s="185"/>
      <c r="AG17" s="185"/>
      <c r="AH17" s="188"/>
      <c r="AI17" s="189"/>
      <c r="AJ17" s="6"/>
      <c r="AK17" s="33"/>
      <c r="AL17" s="33"/>
      <c r="AM17" s="33"/>
      <c r="AN17" s="33"/>
      <c r="AO17" s="33"/>
      <c r="AP17" s="33"/>
      <c r="AQ17" s="6"/>
      <c r="AR17" s="3"/>
      <c r="AU17" s="298" t="s">
        <v>207</v>
      </c>
      <c r="AV17" s="298" t="s">
        <v>461</v>
      </c>
    </row>
    <row r="18" spans="1:48" ht="21" customHeight="1" thickTop="1" thickBot="1" x14ac:dyDescent="0.3">
      <c r="A18" s="34"/>
      <c r="B18" s="171" t="s">
        <v>46</v>
      </c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3"/>
      <c r="AJ18" s="6"/>
      <c r="AK18" s="33"/>
      <c r="AL18" s="33"/>
      <c r="AM18" s="33"/>
      <c r="AN18" s="33"/>
      <c r="AO18" s="33"/>
      <c r="AP18" s="33"/>
      <c r="AQ18" s="6"/>
      <c r="AR18" s="3"/>
      <c r="AU18" s="298" t="s">
        <v>202</v>
      </c>
      <c r="AV18" s="298" t="s">
        <v>462</v>
      </c>
    </row>
    <row r="19" spans="1:48" ht="14.4" thickTop="1" thickBot="1" x14ac:dyDescent="0.3">
      <c r="A19" s="4" t="s">
        <v>47</v>
      </c>
      <c r="B19" s="160">
        <v>0.13541666666666666</v>
      </c>
      <c r="C19" s="161"/>
      <c r="D19" s="162"/>
      <c r="E19" s="160">
        <v>0.16666666666666666</v>
      </c>
      <c r="F19" s="161"/>
      <c r="G19" s="162"/>
      <c r="H19" s="160">
        <v>0.19791666666666666</v>
      </c>
      <c r="I19" s="161"/>
      <c r="J19" s="162"/>
      <c r="K19" s="160"/>
      <c r="L19" s="161"/>
      <c r="M19" s="162"/>
      <c r="N19" s="160"/>
      <c r="O19" s="161"/>
      <c r="P19" s="162"/>
      <c r="Q19" s="160"/>
      <c r="R19" s="161"/>
      <c r="S19" s="162"/>
      <c r="T19" s="160"/>
      <c r="U19" s="161"/>
      <c r="V19" s="162"/>
      <c r="W19" s="160"/>
      <c r="X19" s="161"/>
      <c r="Y19" s="162"/>
      <c r="Z19" s="160"/>
      <c r="AA19" s="161"/>
      <c r="AB19" s="162"/>
      <c r="AC19" s="160"/>
      <c r="AD19" s="161"/>
      <c r="AE19" s="162"/>
      <c r="AF19" s="163" t="s">
        <v>48</v>
      </c>
      <c r="AG19" s="164"/>
      <c r="AH19" s="164"/>
      <c r="AI19" s="164"/>
      <c r="AJ19" s="165"/>
      <c r="AK19" s="165"/>
      <c r="AL19" s="165"/>
      <c r="AM19" s="165"/>
      <c r="AN19" s="165"/>
      <c r="AO19" s="165"/>
      <c r="AP19" s="165"/>
      <c r="AQ19" s="166"/>
      <c r="AU19" s="298" t="s">
        <v>463</v>
      </c>
      <c r="AV19" s="298" t="s">
        <v>464</v>
      </c>
    </row>
    <row r="20" spans="1:48" ht="13.8" thickBot="1" x14ac:dyDescent="0.3">
      <c r="A20" s="35" t="s">
        <v>49</v>
      </c>
      <c r="B20" s="157"/>
      <c r="C20" s="158"/>
      <c r="D20" s="159"/>
      <c r="E20" s="157"/>
      <c r="F20" s="158"/>
      <c r="G20" s="159"/>
      <c r="H20" s="157"/>
      <c r="I20" s="158"/>
      <c r="J20" s="159"/>
      <c r="K20" s="157"/>
      <c r="L20" s="158"/>
      <c r="M20" s="159"/>
      <c r="N20" s="157"/>
      <c r="O20" s="158"/>
      <c r="P20" s="159"/>
      <c r="Q20" s="157"/>
      <c r="R20" s="158"/>
      <c r="S20" s="159"/>
      <c r="T20" s="157"/>
      <c r="U20" s="158"/>
      <c r="V20" s="159"/>
      <c r="W20" s="157"/>
      <c r="X20" s="158"/>
      <c r="Y20" s="159"/>
      <c r="Z20" s="157"/>
      <c r="AA20" s="158"/>
      <c r="AB20" s="159"/>
      <c r="AC20" s="157"/>
      <c r="AD20" s="158"/>
      <c r="AE20" s="159"/>
      <c r="AF20" s="163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7"/>
      <c r="AU20" s="298" t="s">
        <v>465</v>
      </c>
      <c r="AV20" s="298" t="s">
        <v>466</v>
      </c>
    </row>
    <row r="21" spans="1:48" ht="13.8" thickBot="1" x14ac:dyDescent="0.3">
      <c r="A21" s="35" t="s">
        <v>50</v>
      </c>
      <c r="B21" s="157"/>
      <c r="C21" s="158"/>
      <c r="D21" s="159"/>
      <c r="E21" s="157"/>
      <c r="F21" s="158"/>
      <c r="G21" s="159"/>
      <c r="H21" s="157"/>
      <c r="I21" s="158"/>
      <c r="J21" s="159"/>
      <c r="K21" s="157"/>
      <c r="L21" s="158"/>
      <c r="M21" s="159"/>
      <c r="N21" s="157"/>
      <c r="O21" s="158"/>
      <c r="P21" s="159"/>
      <c r="Q21" s="157"/>
      <c r="R21" s="158"/>
      <c r="S21" s="159"/>
      <c r="T21" s="157"/>
      <c r="U21" s="158"/>
      <c r="V21" s="159"/>
      <c r="W21" s="157"/>
      <c r="X21" s="158"/>
      <c r="Y21" s="159"/>
      <c r="Z21" s="157"/>
      <c r="AA21" s="158"/>
      <c r="AB21" s="159"/>
      <c r="AC21" s="157"/>
      <c r="AD21" s="158"/>
      <c r="AE21" s="159"/>
      <c r="AF21" s="163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7"/>
      <c r="AU21" s="298" t="s">
        <v>467</v>
      </c>
      <c r="AV21" s="298" t="s">
        <v>468</v>
      </c>
    </row>
    <row r="22" spans="1:48" ht="13.8" thickBot="1" x14ac:dyDescent="0.3">
      <c r="A22" s="6"/>
      <c r="B22" s="154" t="s">
        <v>51</v>
      </c>
      <c r="C22" s="155"/>
      <c r="D22" s="156"/>
      <c r="E22" s="154" t="str">
        <f>IF(AK8&gt;1,"Match 2","")</f>
        <v>Match 2</v>
      </c>
      <c r="F22" s="155"/>
      <c r="G22" s="156"/>
      <c r="H22" s="154" t="str">
        <f>IF(AK8&gt;2,"Match 3","")</f>
        <v>Match 3</v>
      </c>
      <c r="I22" s="155"/>
      <c r="J22" s="156"/>
      <c r="K22" s="154" t="str">
        <f>IF(AK8&gt;3,"Match 4","")</f>
        <v>Match 4</v>
      </c>
      <c r="L22" s="155"/>
      <c r="M22" s="156"/>
      <c r="N22" s="154" t="str">
        <f>IF(AK8&gt;4,"Match 5","")</f>
        <v>Match 5</v>
      </c>
      <c r="O22" s="155"/>
      <c r="P22" s="156"/>
      <c r="Q22" s="154" t="str">
        <f>IF(AK8&gt;5,"Match 6","")</f>
        <v>Match 6</v>
      </c>
      <c r="R22" s="155"/>
      <c r="S22" s="156"/>
      <c r="T22" s="154" t="str">
        <f>IF(AK8&gt;6,"Match 7","")</f>
        <v/>
      </c>
      <c r="U22" s="155"/>
      <c r="V22" s="156"/>
      <c r="W22" s="154" t="str">
        <f>IF(AK8&gt;7,"Match 8","")</f>
        <v/>
      </c>
      <c r="X22" s="155"/>
      <c r="Y22" s="156"/>
      <c r="Z22" s="154" t="str">
        <f>IF(AK8&gt;8,"Match 9","")</f>
        <v/>
      </c>
      <c r="AA22" s="155"/>
      <c r="AB22" s="156"/>
      <c r="AC22" s="154" t="str">
        <f>IF(AK8&gt;9,"Match 10","")</f>
        <v/>
      </c>
      <c r="AD22" s="155"/>
      <c r="AE22" s="156"/>
      <c r="AF22" s="168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70"/>
      <c r="AU22" s="298" t="s">
        <v>469</v>
      </c>
      <c r="AV22" s="298" t="s">
        <v>470</v>
      </c>
    </row>
    <row r="23" spans="1:48" ht="15.75" customHeight="1" x14ac:dyDescent="0.3">
      <c r="A23" s="6"/>
      <c r="B23" s="147" t="s">
        <v>53</v>
      </c>
      <c r="C23" s="148"/>
      <c r="D23" s="149"/>
      <c r="E23" s="147" t="s">
        <v>52</v>
      </c>
      <c r="F23" s="148"/>
      <c r="G23" s="149"/>
      <c r="H23" s="147" t="s">
        <v>54</v>
      </c>
      <c r="I23" s="148"/>
      <c r="J23" s="149"/>
      <c r="K23" s="147" t="s">
        <v>55</v>
      </c>
      <c r="L23" s="148"/>
      <c r="M23" s="149"/>
      <c r="N23" s="147" t="s">
        <v>52</v>
      </c>
      <c r="O23" s="148"/>
      <c r="P23" s="149"/>
      <c r="Q23" s="147" t="s">
        <v>54</v>
      </c>
      <c r="R23" s="148"/>
      <c r="S23" s="149"/>
      <c r="T23" s="147"/>
      <c r="U23" s="148"/>
      <c r="V23" s="149"/>
      <c r="W23" s="147"/>
      <c r="X23" s="148"/>
      <c r="Y23" s="149"/>
      <c r="Z23" s="147"/>
      <c r="AA23" s="148"/>
      <c r="AB23" s="149"/>
      <c r="AC23" s="147"/>
      <c r="AD23" s="148"/>
      <c r="AE23" s="149"/>
      <c r="AF23" s="36" t="s">
        <v>56</v>
      </c>
      <c r="AG23" s="37">
        <v>1</v>
      </c>
      <c r="AH23" s="37">
        <v>2</v>
      </c>
      <c r="AI23" s="37">
        <v>3</v>
      </c>
      <c r="AJ23" s="37">
        <v>4</v>
      </c>
      <c r="AK23" s="37">
        <v>5</v>
      </c>
      <c r="AL23" s="37">
        <v>6</v>
      </c>
      <c r="AM23" s="37">
        <v>7</v>
      </c>
      <c r="AN23" s="37">
        <v>8</v>
      </c>
      <c r="AO23" s="37">
        <v>9</v>
      </c>
      <c r="AP23" s="37">
        <v>10</v>
      </c>
      <c r="AQ23" s="38" t="s">
        <v>57</v>
      </c>
    </row>
    <row r="24" spans="1:48" ht="15.6" x14ac:dyDescent="0.3">
      <c r="A24" s="6"/>
      <c r="B24" s="39">
        <v>2</v>
      </c>
      <c r="C24" s="40" t="s">
        <v>58</v>
      </c>
      <c r="D24" s="41">
        <v>3</v>
      </c>
      <c r="E24" s="39">
        <v>1</v>
      </c>
      <c r="F24" s="40" t="str">
        <f>IF(AK8&gt;1,"v","")</f>
        <v>v</v>
      </c>
      <c r="G24" s="41">
        <v>4</v>
      </c>
      <c r="H24" s="39">
        <v>2</v>
      </c>
      <c r="I24" s="40" t="str">
        <f>IF(AK8&gt;2,"v","")</f>
        <v>v</v>
      </c>
      <c r="J24" s="41">
        <v>4</v>
      </c>
      <c r="K24" s="39">
        <v>1</v>
      </c>
      <c r="L24" s="40" t="str">
        <f>IF(AK8&gt;3,"v","")</f>
        <v>v</v>
      </c>
      <c r="M24" s="41">
        <v>3</v>
      </c>
      <c r="N24" s="39">
        <v>3</v>
      </c>
      <c r="O24" s="40" t="str">
        <f>IF(AK8&gt;4,"v","")</f>
        <v>v</v>
      </c>
      <c r="P24" s="41">
        <v>4</v>
      </c>
      <c r="Q24" s="39">
        <v>1</v>
      </c>
      <c r="R24" s="40" t="str">
        <f>IF(AK8&gt;5,"v","")</f>
        <v>v</v>
      </c>
      <c r="S24" s="41">
        <v>2</v>
      </c>
      <c r="T24" s="39"/>
      <c r="U24" s="40" t="str">
        <f>IF(AK8&gt;6,"v","")</f>
        <v/>
      </c>
      <c r="V24" s="41"/>
      <c r="W24" s="39"/>
      <c r="X24" s="40" t="str">
        <f>IF(AK8&gt;7,"v","")</f>
        <v/>
      </c>
      <c r="Y24" s="41"/>
      <c r="Z24" s="39"/>
      <c r="AA24" s="40" t="str">
        <f>IF(AK8&gt;8,"v","")</f>
        <v/>
      </c>
      <c r="AB24" s="41"/>
      <c r="AC24" s="39"/>
      <c r="AD24" s="40" t="str">
        <f>IF(AK8&gt;9,"v","")</f>
        <v/>
      </c>
      <c r="AE24" s="41"/>
      <c r="AF24" s="36" t="str">
        <f>IF(AK9&gt;0,"Team 1","")</f>
        <v>Team 1</v>
      </c>
      <c r="AG24" s="42" t="str">
        <f>IF(AK9&lt;1,"",IF(AK8&lt;1,"",IF(B24=1,B30-D30,IF(D24=1,D30-B30,""))))</f>
        <v/>
      </c>
      <c r="AH24" s="42">
        <f>IF(AK9&lt;1,"",IF(AK8&lt;2,"",IF(E24=1,E30-G30,IF(G24=1,G30-E30,""))))</f>
        <v>4</v>
      </c>
      <c r="AI24" s="42" t="str">
        <f>IF(AK9&lt;1,"",IF(AK8&lt;3,"",IF(H24=1,H30-J30,IF(J24=1,J30-H30,""))))</f>
        <v/>
      </c>
      <c r="AJ24" s="42">
        <f>IF(AK9&lt;1,"",IF(AK8&lt;4,"",IF(K24=1,K30-M30,IF(M24=1,M30-K30,""))))</f>
        <v>-9</v>
      </c>
      <c r="AK24" s="42" t="str">
        <f>IF(AK9&lt;1,"",IF(AK8&lt;5,"",IF(N24=1,N30-P30,IF(P24=1,P30-N30,""))))</f>
        <v/>
      </c>
      <c r="AL24" s="42">
        <f>IF(AK9&lt;1,"",IF(AK8&lt;6,"",IF(Q24=1,Q30-S30,IF(S24=1,S30-Q30,""))))</f>
        <v>-5</v>
      </c>
      <c r="AM24" s="42" t="str">
        <f>IF(AK9&lt;1,"",IF(AK8&lt;7,"",IF(T24=1,T30-V30,IF(V24=1,V30-T30,""))))</f>
        <v/>
      </c>
      <c r="AN24" s="42" t="str">
        <f>IF(AK9&lt;1,"",IF(AK8&lt;8,"",IF(W24=1,W30-Y30,IF(Y24=1,Y30-W30,""))))</f>
        <v/>
      </c>
      <c r="AO24" s="42" t="str">
        <f>IF(AK9&lt;1,"",IF(AK8&lt;9,"",IF(Z24=1,Z30-AB30,IF(AB24=1,AB30-Z30,""))))</f>
        <v/>
      </c>
      <c r="AP24" s="42" t="str">
        <f>IF(AK9&lt;1,"",IF(AK8&lt;10,"",IF(AC24=1,AC30-AE30,IF(AE24=1,AE30-AC30,""))))</f>
        <v/>
      </c>
      <c r="AQ24" s="38">
        <f>SUM(AG24:AP24)</f>
        <v>-10</v>
      </c>
    </row>
    <row r="25" spans="1:48" ht="15" x14ac:dyDescent="0.25">
      <c r="A25" s="4" t="s">
        <v>59</v>
      </c>
      <c r="B25" s="43">
        <v>17</v>
      </c>
      <c r="C25" s="44" t="s">
        <v>60</v>
      </c>
      <c r="D25" s="45">
        <v>20</v>
      </c>
      <c r="E25" s="43">
        <v>18</v>
      </c>
      <c r="F25" s="44" t="str">
        <f>IF(AK8&gt;1,"/","")</f>
        <v>/</v>
      </c>
      <c r="G25" s="45">
        <v>14</v>
      </c>
      <c r="H25" s="43">
        <v>23</v>
      </c>
      <c r="I25" s="44" t="str">
        <f>IF(AK8&gt;2,"/","")</f>
        <v>/</v>
      </c>
      <c r="J25" s="45">
        <v>15</v>
      </c>
      <c r="K25" s="43">
        <v>11</v>
      </c>
      <c r="L25" s="44" t="str">
        <f>IF(AK8&gt;3,"/","")</f>
        <v>/</v>
      </c>
      <c r="M25" s="45">
        <v>20</v>
      </c>
      <c r="N25" s="43">
        <v>16</v>
      </c>
      <c r="O25" s="44" t="str">
        <f>IF(AK8&gt;4,"/","")</f>
        <v>/</v>
      </c>
      <c r="P25" s="45">
        <v>18</v>
      </c>
      <c r="Q25" s="43">
        <v>15</v>
      </c>
      <c r="R25" s="44" t="str">
        <f>IF(AK8&gt;5,"/","")</f>
        <v>/</v>
      </c>
      <c r="S25" s="45">
        <v>20</v>
      </c>
      <c r="T25" s="43"/>
      <c r="U25" s="44" t="str">
        <f>IF(AK8&gt;6,"/","")</f>
        <v/>
      </c>
      <c r="V25" s="45"/>
      <c r="W25" s="43"/>
      <c r="X25" s="44" t="str">
        <f>IF(AK8&gt;7,"/","")</f>
        <v/>
      </c>
      <c r="Y25" s="45"/>
      <c r="Z25" s="43"/>
      <c r="AA25" s="44" t="str">
        <f>IF(AK8&gt;8,"/","")</f>
        <v/>
      </c>
      <c r="AB25" s="45"/>
      <c r="AC25" s="43"/>
      <c r="AD25" s="44" t="str">
        <f>IF(AK8&gt;9,"/","")</f>
        <v/>
      </c>
      <c r="AE25" s="45"/>
      <c r="AF25" s="36" t="str">
        <f>IF(AK9&gt;1,"Team 2","")</f>
        <v>Team 2</v>
      </c>
      <c r="AG25" s="42">
        <f>IF(AK9&lt;2,"",IF(AK8&lt;1,"",IF(B24=2,B30-D30,IF(D24=2,D30-B30,""))))</f>
        <v>-3</v>
      </c>
      <c r="AH25" s="42" t="str">
        <f>IF(AK9&lt;2,"",IF(AK8&lt;2,"",IF(E24=2,E30-G30,IF(G24=2,G30-E30,""))))</f>
        <v/>
      </c>
      <c r="AI25" s="42">
        <f>IF(AK9&lt;2,"",IF(AK8&lt;3,"",IF(H24=2,H30-J30,IF(J24=2,J30-H30,""))))</f>
        <v>8</v>
      </c>
      <c r="AJ25" s="42" t="str">
        <f>IF(AK9&lt;2,"",IF(AK8&lt;4,"",IF(K24=2,K30-M30,IF(M24=2,M30-K30,""))))</f>
        <v/>
      </c>
      <c r="AK25" s="42" t="str">
        <f>IF(AK9&lt;2,"",IF(AK8&lt;5,"",IF(N24=2,N30-P30,IF(P24=2,P30-N30,""))))</f>
        <v/>
      </c>
      <c r="AL25" s="42">
        <f>IF(AK9&lt;2,"",IF(AK8&lt;6,"",IF(Q24=2,Q30-S30,IF(S24=2,S30-Q30,""))))</f>
        <v>5</v>
      </c>
      <c r="AM25" s="42" t="str">
        <f>IF(AK9&lt;2,"",IF(AK8&lt;7,"",IF(T24=2,T30-V30,IF(V24=2,V30-T30,""))))</f>
        <v/>
      </c>
      <c r="AN25" s="42" t="str">
        <f>IF(AK9&lt;2,"",IF(AK8&lt;8,"",IF(W24=2,W30-Y30,IF(Y24=2,Y30-W30,""))))</f>
        <v/>
      </c>
      <c r="AO25" s="42" t="str">
        <f>IF(AK9&lt;2,"",IF(AK8&lt;9,"",IF(Z24=2,Z30-AB30,IF(AB24=2,AB30-Z30,""))))</f>
        <v/>
      </c>
      <c r="AP25" s="42" t="str">
        <f>IF(AK9&lt;2,"",IF(AK8&lt;10,"",IF(AC24=2,AC30-AE30,IF(AE24=2,AE30-AC30,""))))</f>
        <v/>
      </c>
      <c r="AQ25" s="38">
        <f>SUM(AG25:AP25)</f>
        <v>10</v>
      </c>
    </row>
    <row r="26" spans="1:48" ht="15" x14ac:dyDescent="0.25">
      <c r="A26" s="3" t="str">
        <f>IF(AK7&gt;1,"Game 2","")</f>
        <v/>
      </c>
      <c r="B26" s="43"/>
      <c r="C26" s="44" t="s">
        <v>60</v>
      </c>
      <c r="D26" s="45"/>
      <c r="E26" s="43"/>
      <c r="F26" s="44" t="str">
        <f>IF(AK8&gt;1,IF(AK7&gt;1,"/",""),"")</f>
        <v/>
      </c>
      <c r="G26" s="45"/>
      <c r="H26" s="43"/>
      <c r="I26" s="44" t="str">
        <f>IF(AK8&gt;2,IF(AK7&gt;1,"/",""),"")</f>
        <v/>
      </c>
      <c r="J26" s="45"/>
      <c r="K26" s="43"/>
      <c r="L26" s="44" t="str">
        <f>IF(AK8&gt;3,IF(AK7&gt;1,"/",""),"")</f>
        <v/>
      </c>
      <c r="M26" s="45"/>
      <c r="N26" s="43"/>
      <c r="O26" s="44" t="str">
        <f>IF(AK8&gt;4,IF(AK7&gt;1,"/",""),"")</f>
        <v/>
      </c>
      <c r="P26" s="45"/>
      <c r="Q26" s="43"/>
      <c r="R26" s="44" t="str">
        <f>IF(AK8&gt;5,IF(AK7&gt;1,"/",""),"")</f>
        <v/>
      </c>
      <c r="S26" s="45"/>
      <c r="T26" s="43"/>
      <c r="U26" s="44" t="str">
        <f>IF(AK8&gt;6,IF(AK7&gt;1,"/",""),"")</f>
        <v/>
      </c>
      <c r="V26" s="45"/>
      <c r="W26" s="43"/>
      <c r="X26" s="44" t="str">
        <f>IF(AK8&gt;7,IF(AK7&gt;1,"/",""),"")</f>
        <v/>
      </c>
      <c r="Y26" s="45"/>
      <c r="Z26" s="43"/>
      <c r="AA26" s="44" t="str">
        <f>IF(AK8&gt;8,IF(AK7&gt;1,"/",""),"")</f>
        <v/>
      </c>
      <c r="AB26" s="45"/>
      <c r="AC26" s="43"/>
      <c r="AD26" s="44" t="str">
        <f>IF(AK8&gt;9,IF(AK7&gt;1,"/",""),"")</f>
        <v/>
      </c>
      <c r="AE26" s="45"/>
      <c r="AF26" s="36" t="str">
        <f>IF(AK9&gt;2,"Team 3","")</f>
        <v>Team 3</v>
      </c>
      <c r="AG26" s="42">
        <f>IF(AK9&lt;3,"",IF(AK8&lt;1,"",IF(B24=3,B30-D30,IF(D24=3,D30-B30,""))))</f>
        <v>3</v>
      </c>
      <c r="AH26" s="42" t="str">
        <f>IF(AK9&lt;3,"",IF(AK8&lt;2,"",IF(E24=3,E30-G30,IF(G24=3,G30-E30,""))))</f>
        <v/>
      </c>
      <c r="AI26" s="42" t="str">
        <f>IF(AK9&lt;3,"",IF(AK8&lt;3,"",IF(H24=3,H30-J30,IF(J24=3,J30-H30,""))))</f>
        <v/>
      </c>
      <c r="AJ26" s="42">
        <f>IF(AK9&lt;3,"",IF(AK8&lt;4,"",IF(K24=3,K30-M30,IF(M24=3,M30-K30,""))))</f>
        <v>9</v>
      </c>
      <c r="AK26" s="42">
        <f>IF(AK9&lt;3,"",IF(AK8&lt;5,"",IF(N24=3,N30-P30,IF(P24=3,P30-N30,""))))</f>
        <v>-2</v>
      </c>
      <c r="AL26" s="42" t="str">
        <f>IF(AK9&lt;3,"",IF(AK8&lt;6,"",IF(Q24=3,Q30-S30,IF(S24=3,S30-Q30,""))))</f>
        <v/>
      </c>
      <c r="AM26" s="42" t="str">
        <f>IF(AK9&lt;3,"",IF(AK8&lt;7,"",IF(T24=3,T30-V30,IF(V24=3,V30-T30,""))))</f>
        <v/>
      </c>
      <c r="AN26" s="42" t="str">
        <f>IF(AK9&lt;3,"",IF(AK8&lt;8,"",IF(W24=3,W30-Y30,IF(Y24=3,Y30-W30,""))))</f>
        <v/>
      </c>
      <c r="AO26" s="42" t="str">
        <f>IF(AK9&lt;3,"",IF(AK8&lt;9,"",IF(Z24=3,Z30-AB30,IF(AB24=3,AB30-Z30,""))))</f>
        <v/>
      </c>
      <c r="AP26" s="42" t="str">
        <f>IF(AK9&lt;3,"",IF(AK8&lt;9,"",IF(AC24=3,AC30-AE30,IF(AE24=3,AE30-AC30,""))))</f>
        <v/>
      </c>
      <c r="AQ26" s="38">
        <f>SUM(AG26:AP26)</f>
        <v>10</v>
      </c>
    </row>
    <row r="27" spans="1:48" ht="15" x14ac:dyDescent="0.25">
      <c r="A27" s="3" t="str">
        <f>IF(AK7&gt;2,"Game 3","")</f>
        <v/>
      </c>
      <c r="B27" s="43"/>
      <c r="C27" s="44" t="s">
        <v>60</v>
      </c>
      <c r="D27" s="45"/>
      <c r="E27" s="43"/>
      <c r="F27" s="44" t="str">
        <f>IF(AK8&gt;1,IF(AK7&gt;2,"/",""),"")</f>
        <v/>
      </c>
      <c r="G27" s="45"/>
      <c r="H27" s="43"/>
      <c r="I27" s="44" t="str">
        <f>IF(AK8&gt;2,IF(AK7&gt;2,"/",""),"")</f>
        <v/>
      </c>
      <c r="J27" s="45"/>
      <c r="K27" s="43"/>
      <c r="L27" s="44" t="str">
        <f>IF(AK8&gt;3,IF(AK7&gt;2,"/",""),"")</f>
        <v/>
      </c>
      <c r="M27" s="45"/>
      <c r="N27" s="43"/>
      <c r="O27" s="44" t="str">
        <f>IF(AK8&gt;4,IF(AK7&gt;2,"/",""),"")</f>
        <v/>
      </c>
      <c r="P27" s="45"/>
      <c r="Q27" s="43"/>
      <c r="R27" s="44" t="str">
        <f>IF(AK8&gt;5,IF(AK7&gt;2,"/",""),"")</f>
        <v/>
      </c>
      <c r="S27" s="45"/>
      <c r="T27" s="43"/>
      <c r="U27" s="44" t="str">
        <f>IF(AK8&gt;6,IF(AK7&gt;2,"/",""),"")</f>
        <v/>
      </c>
      <c r="V27" s="45"/>
      <c r="W27" s="43"/>
      <c r="X27" s="44" t="str">
        <f>IF(AK8&gt;7,IF(AK7&gt;2,"/",""),"")</f>
        <v/>
      </c>
      <c r="Y27" s="45"/>
      <c r="Z27" s="43"/>
      <c r="AA27" s="44" t="str">
        <f>IF(AK8&gt;8,IF(AK7&gt;2,"/",""),"")</f>
        <v/>
      </c>
      <c r="AB27" s="45"/>
      <c r="AC27" s="43"/>
      <c r="AD27" s="44" t="str">
        <f>IF(AK8&gt;9,IF(AK7&gt;2,"/",""),"")</f>
        <v/>
      </c>
      <c r="AE27" s="45"/>
      <c r="AF27" s="36" t="str">
        <f>IF(AK9&gt;3,"Team 4","")</f>
        <v>Team 4</v>
      </c>
      <c r="AG27" s="42" t="str">
        <f>IF(AK9&lt;4,"",IF(AK8&lt;1,"",IF(B24=4,B30-D30,IF(D24=4,D30-B30,""))))</f>
        <v/>
      </c>
      <c r="AH27" s="42">
        <f>IF(AK9&lt;4,"",IF(AK8&lt;2,"",IF(E24=4,E30-G30,IF(G24=4,G30-E30,""))))</f>
        <v>-4</v>
      </c>
      <c r="AI27" s="42">
        <f>IF(AK9&lt;4,"",IF(AK8&lt;3,"",IF(H24=4,H30-J30,IF(J24=4,J30-H30,""))))</f>
        <v>-8</v>
      </c>
      <c r="AJ27" s="42" t="str">
        <f>IF(AK9&lt;4,"",IF(AK8&lt;4,"",IF(K24=4,K30-M30,IF(M24=4,M30-K30,""))))</f>
        <v/>
      </c>
      <c r="AK27" s="42">
        <f>IF(AK9&lt;4,"",IF(AK8&lt;5,"",IF(N24=4,N30-P30,IF(P24=4,P30-N30,""))))</f>
        <v>2</v>
      </c>
      <c r="AL27" s="42" t="str">
        <f>IF(AK9&lt;4,"",IF(AK8&lt;6,"",IF(Q24=4,Q30-S30,IF(S24=4,S30-Q30,""))))</f>
        <v/>
      </c>
      <c r="AM27" s="42" t="str">
        <f>IF(AK9&lt;4,"",IF(AK8&lt;7,"",IF(T24=4,T30-V30,IF(V24=4,V30-T30,""))))</f>
        <v/>
      </c>
      <c r="AN27" s="42" t="str">
        <f>IF(AK9&lt;4,"",IF(AK8&lt;8,"",IF(W24=4,W30-Y30,IF(Y24=4,Y30-W30,""))))</f>
        <v/>
      </c>
      <c r="AO27" s="42" t="str">
        <f>IF(AK9&lt;4,"",IF(AK8&lt;9,"",IF(Z24=4,Z30-AB30,IF(AB24=4,AB30-Z30,""))))</f>
        <v/>
      </c>
      <c r="AP27" s="42" t="str">
        <f>IF(AK9&lt;4,"",IF(AK8&lt;10,"",IF(AC24=4,AC30-AE30,IF(AE24=4,AE30-AC30,""))))</f>
        <v/>
      </c>
      <c r="AQ27" s="38">
        <f>SUM(AG27:AP27)</f>
        <v>-10</v>
      </c>
    </row>
    <row r="28" spans="1:48" ht="15" x14ac:dyDescent="0.25">
      <c r="A28" s="3" t="str">
        <f>IF(AK7&gt;3,"Game 4","")</f>
        <v/>
      </c>
      <c r="B28" s="43"/>
      <c r="C28" s="44" t="s">
        <v>60</v>
      </c>
      <c r="D28" s="45"/>
      <c r="E28" s="43"/>
      <c r="F28" s="44" t="str">
        <f>IF(AK8&gt;1,IF(AK7&gt;3,"/",""),"")</f>
        <v/>
      </c>
      <c r="G28" s="45"/>
      <c r="H28" s="43"/>
      <c r="I28" s="44" t="str">
        <f>IF(AK8&gt;2,IF(AK7&gt;3,"/",""),"")</f>
        <v/>
      </c>
      <c r="J28" s="45"/>
      <c r="K28" s="43"/>
      <c r="L28" s="44" t="str">
        <f>IF(AK8&gt;3,IF(AK7&gt;3,"/",""),"")</f>
        <v/>
      </c>
      <c r="M28" s="45"/>
      <c r="N28" s="43"/>
      <c r="O28" s="44" t="str">
        <f>IF(AK8&gt;4,IF(AK7&gt;3,"/",""),"")</f>
        <v/>
      </c>
      <c r="P28" s="45"/>
      <c r="Q28" s="43"/>
      <c r="R28" s="44" t="str">
        <f>IF(AK8&gt;5,IF(AK7&gt;3,"/",""),"")</f>
        <v/>
      </c>
      <c r="S28" s="45"/>
      <c r="T28" s="43"/>
      <c r="U28" s="44" t="str">
        <f>IF(AK8&gt;6,IF(AK7&gt;3,"/",""),"")</f>
        <v/>
      </c>
      <c r="V28" s="45"/>
      <c r="W28" s="43"/>
      <c r="X28" s="44" t="str">
        <f>IF(AK8&gt;7,IF(AK7&gt;3,"/",""),"")</f>
        <v/>
      </c>
      <c r="Y28" s="45"/>
      <c r="Z28" s="43"/>
      <c r="AA28" s="44" t="str">
        <f>IF(AK8&gt;8,IF(AK7&gt;3,"/",""),"")</f>
        <v/>
      </c>
      <c r="AB28" s="45"/>
      <c r="AC28" s="43"/>
      <c r="AD28" s="44" t="str">
        <f>IF(AK8&gt;9,IF(AK7&gt;3,"/",""),"")</f>
        <v/>
      </c>
      <c r="AE28" s="45"/>
      <c r="AF28" s="36" t="str">
        <f>IF(AK9&gt;4,"Team 5","")</f>
        <v/>
      </c>
      <c r="AG28" s="46" t="str">
        <f>IF(AK9&lt;5,"",IF(AK8&lt;1,"",IF(B24=5,B30-D30,IF(D24=5,D30-B30,""))))</f>
        <v/>
      </c>
      <c r="AH28" s="42" t="str">
        <f>IF(AK9&lt;5,"",IF(AK8&lt;2,"",IF(E24=5,E30-G30,IF(G24=5,G30-E30,""))))</f>
        <v/>
      </c>
      <c r="AI28" s="42" t="str">
        <f>IF(AK9&lt;5,"",IF(AK8&lt;3,"",IF(H24=5,H30-J30,IF(J24=5,J30-H30,""))))</f>
        <v/>
      </c>
      <c r="AJ28" s="42" t="str">
        <f>IF(AK9&lt;5,"",IF(AK8&lt;4,"",IF(K24=5,K30-M30,IF(M24=5,M30-K30,""))))</f>
        <v/>
      </c>
      <c r="AK28" s="42" t="str">
        <f>IF(AK9&lt;5,"",IF(AK8&lt;5,"",IF(N24=5,N30-P30,IF(P24=5,P30-N30,""))))</f>
        <v/>
      </c>
      <c r="AL28" s="42" t="str">
        <f>IF(AK9&lt;5,"",IF(AK8&lt;6,"",IF(Q24=5,Q30-S30,IF(S24=5,S30-Q30,""))))</f>
        <v/>
      </c>
      <c r="AM28" s="42" t="str">
        <f>IF(AK9&lt;5,"",IF(AK8&lt;7,"",IF(T24=5,T30-V30,IF(V24=5,V30-T30,""))))</f>
        <v/>
      </c>
      <c r="AN28" s="42" t="str">
        <f>IF(AK9&lt;5,"",IF(AK8&lt;8,"",IF(W24=5,W30-Y30,IF(Y24=5,Y30-W30,""))))</f>
        <v/>
      </c>
      <c r="AO28" s="42" t="str">
        <f>IF(AK9&lt;5,"",IF(AK8&lt;9,"",IF(Z24=5,Z30-AB30,IF(AB24=5,AB30-Z30,""))))</f>
        <v/>
      </c>
      <c r="AP28" s="42" t="str">
        <f>IF(AK9&lt;5,"",IF(AK8&lt;10,"",IF(AC24=5,AC30-AE30,IF(AE24=5,AE30-AC30,""))))</f>
        <v/>
      </c>
      <c r="AQ28" s="38">
        <f>SUM(AG28:AP28)</f>
        <v>0</v>
      </c>
    </row>
    <row r="29" spans="1:48" ht="15" hidden="1" x14ac:dyDescent="0.25">
      <c r="A29" s="3" t="str">
        <f>IF(AK7&gt;4,"Game 5","")</f>
        <v/>
      </c>
      <c r="B29" s="43"/>
      <c r="C29" s="44" t="s">
        <v>60</v>
      </c>
      <c r="D29" s="45"/>
      <c r="E29" s="43"/>
      <c r="F29" s="44" t="str">
        <f>IF(AK8&gt;1,IF(AK7&gt;4,"/",""),"")</f>
        <v/>
      </c>
      <c r="G29" s="45"/>
      <c r="H29" s="43"/>
      <c r="I29" s="44" t="str">
        <f>IF(AK8&gt;2,IF(AK7&gt;4,"/",""),"")</f>
        <v/>
      </c>
      <c r="J29" s="45"/>
      <c r="K29" s="43"/>
      <c r="L29" s="44" t="str">
        <f>IF(AK8&gt;3,IF(AK7&gt;4,"/",""),"")</f>
        <v/>
      </c>
      <c r="M29" s="45"/>
      <c r="N29" s="43"/>
      <c r="O29" s="44" t="str">
        <f>IF(AK8&gt;4,IF(AK7&gt;4,"/",""),"")</f>
        <v/>
      </c>
      <c r="P29" s="45"/>
      <c r="Q29" s="43"/>
      <c r="R29" s="44" t="str">
        <f>IF(AK8&gt;5,IF(AK7&gt;4,"/",""),"")</f>
        <v/>
      </c>
      <c r="S29" s="45"/>
      <c r="T29" s="43"/>
      <c r="U29" s="44" t="str">
        <f>IF(AK8&gt;6,IF(AK7&gt;4,"/",""),"")</f>
        <v/>
      </c>
      <c r="V29" s="45"/>
      <c r="W29" s="43"/>
      <c r="X29" s="44" t="str">
        <f>IF(AK8&gt;7,IF(AK7&gt;4,"/",""),"")</f>
        <v/>
      </c>
      <c r="Y29" s="45"/>
      <c r="Z29" s="43"/>
      <c r="AA29" s="44" t="str">
        <f>IF(AK8&gt;8,IF(AK7&gt;4,"/",""),"")</f>
        <v/>
      </c>
      <c r="AB29" s="45"/>
      <c r="AC29" s="43"/>
      <c r="AD29" s="44" t="str">
        <f>IF(AK8&gt;9,IF(AK7&gt;4,"/",""),"")</f>
        <v/>
      </c>
      <c r="AE29" s="45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8" hidden="1" x14ac:dyDescent="0.25">
      <c r="A30" s="47"/>
      <c r="B30" s="47">
        <f>IF($AK7=5,SUM(B25:B29),IF($AK7=4,SUM(B25:B28),IF($AK7=3,SUM(B25:B27),IF($AK7=2,SUM(B25:B26),B25))))</f>
        <v>17</v>
      </c>
      <c r="C30" s="47"/>
      <c r="D30" s="47">
        <f>IF($AK7=5,SUM(D25:D29),IF($AK7=4,SUM(D25:D28),IF($AK7=3,SUM(D25:D27),IF($AK7=2,SUM(D25:D26),D25))))</f>
        <v>20</v>
      </c>
      <c r="E30" s="47">
        <f>IF($AK7=5,SUM(E25:E29),IF($AK7=4,SUM(E25:E28),IF($AK7=3,SUM(E25:E27),IF($AK7=2,SUM(E25:E26),E25))))</f>
        <v>18</v>
      </c>
      <c r="F30" s="47"/>
      <c r="G30" s="47">
        <f>IF($AK7=5,SUM(G25:G29),IF($AK7=4,SUM(G25:G28),IF($AK7=3,SUM(G25:G27),IF($AK7=2,SUM(G25:G26),G25))))</f>
        <v>14</v>
      </c>
      <c r="H30" s="47">
        <f>IF($AK7=5,SUM(H25:H29),IF($AK7=4,SUM(H25:H28),IF($AK7=3,SUM(H25:H27),IF($AK7=2,SUM(H25:H26),H25))))</f>
        <v>23</v>
      </c>
      <c r="I30" s="47"/>
      <c r="J30" s="47">
        <f>IF($AK7=5,SUM(J25:J29),IF($AK7=4,SUM(J25:J28),IF($AK7=3,SUM(J25:J27),IF($AK7=2,SUM(J25:J26),J25))))</f>
        <v>15</v>
      </c>
      <c r="K30" s="47">
        <f>IF($AK7=5,SUM(K25:K29),IF($AK7=4,SUM(K25:K28),IF($AK7=3,SUM(K25:K27),IF($AK7=2,SUM(K25:K26),K25))))</f>
        <v>11</v>
      </c>
      <c r="L30" s="47"/>
      <c r="M30" s="47">
        <f>IF($AK7=5,SUM(M25:M29),IF($AK7=4,SUM(M25:M28),IF($AK7=3,SUM(M25:M27),IF($AK7=2,SUM(M25:M26),M25))))</f>
        <v>20</v>
      </c>
      <c r="N30" s="47">
        <f>IF($AK7=5,SUM(N25:N29),IF($AK7=4,SUM(N25:N28),IF($AK7=3,SUM(N25:N27),IF($AK7=2,SUM(N25:N26),N25))))</f>
        <v>16</v>
      </c>
      <c r="O30" s="47"/>
      <c r="P30" s="47">
        <f>IF($AK7=5,SUM(P25:P29),IF($AK7=4,SUM(P25:P28),IF($AK7=3,SUM(P25:P27),IF($AK7=2,SUM(P25:P26),P25))))</f>
        <v>18</v>
      </c>
      <c r="Q30" s="47">
        <f>IF($AK7=5,SUM(Q25:Q29),IF($AK7=4,SUM(Q25:Q28),IF($AK7=3,SUM(Q25:Q27),IF($AK7=2,SUM(Q25:Q26),Q25))))</f>
        <v>15</v>
      </c>
      <c r="R30" s="47"/>
      <c r="S30" s="47">
        <f>IF($AK7=5,SUM(S25:S29),IF($AK7=4,SUM(S25:S28),IF($AK7=3,SUM(S25:S27),IF($AK7=2,SUM(S25:S26),S25))))</f>
        <v>20</v>
      </c>
      <c r="T30" s="47">
        <f>IF($AK7=5,SUM(T25:T29),IF($AK7=4,SUM(T25:T28),IF($AK7=3,SUM(T25:T27),IF($AK7=2,SUM(T25:T26),T25))))</f>
        <v>0</v>
      </c>
      <c r="U30" s="47"/>
      <c r="V30" s="47">
        <f>IF($AK7=5,SUM(V25:V29),IF($AK7=4,SUM(V25:V28),IF($AK7=3,SUM(V25:V27),IF($AK7=2,SUM(V25:V26),V25))))</f>
        <v>0</v>
      </c>
      <c r="W30" s="47">
        <f>IF($AK7=5,SUM(W25:W29),IF($AK7=4,SUM(W25:W28),IF($AK7=3,SUM(W25:W27),IF($AK7=2,SUM(W25:W26),W25))))</f>
        <v>0</v>
      </c>
      <c r="X30" s="47"/>
      <c r="Y30" s="47">
        <f>IF($AK7=5,SUM(Y25:Y29),IF($AK7=4,SUM(Y25:Y28),IF($AK7=3,SUM(Y25:Y27),IF($AK7=2,SUM(Y25:Y26),Y25))))</f>
        <v>0</v>
      </c>
      <c r="Z30" s="47">
        <f>IF($AK7=5,SUM(Z25:Z29),IF($AK7=4,SUM(Z25:Z28),IF($AK7=3,SUM(Z25:Z27),IF($AK7=2,SUM(Z25:Z26),Z25))))</f>
        <v>0</v>
      </c>
      <c r="AA30" s="47"/>
      <c r="AB30" s="47">
        <f>IF($AK7=5,SUM(AB25:AB29),IF($AK7=4,SUM(AB25:AB28),IF($AK7=3,SUM(AB25:AB27),IF($AK7=2,SUM(AB25:AB26),AB25))))</f>
        <v>0</v>
      </c>
      <c r="AC30" s="47">
        <f>IF($AK7=5,SUM(AC25:AC29),IF($AK7=4,SUM(AC25:AC28),IF($AK7=3,SUM(AC25:AC27),IF($AK7=2,SUM(AC25:AC26),AC25))))</f>
        <v>0</v>
      </c>
      <c r="AD30" s="47"/>
      <c r="AE30" s="47">
        <f>IF($AK7=5,SUM(AE25:AE29),IF($AK7=4,SUM(AE25:AE28),IF($AK7=3,SUM(AE25:AE27),IF($AK7=2,SUM(AE25:AE26),AE25))))</f>
        <v>0</v>
      </c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8" s="48" customFormat="1" ht="12.75" hidden="1" customHeight="1" x14ac:dyDescent="0.25">
      <c r="A31" s="48" t="s">
        <v>61</v>
      </c>
      <c r="B31" s="49">
        <f>IF(AND(B25&gt;D25,$AK8&gt;0,ISNUMBER(B25),ISNUMBER(D25)),1,0)</f>
        <v>0</v>
      </c>
      <c r="C31" s="49"/>
      <c r="D31" s="50">
        <f>IF(AND(D25&gt;B25,$AK8&gt;0,ISNUMBER(B25),ISNUMBER(D25)),1,0)</f>
        <v>1</v>
      </c>
      <c r="E31" s="49">
        <f>IF(AND(E25&gt;G25,$AK8&gt;1,ISNUMBER(E25),ISNUMBER(G25)),1,0)</f>
        <v>1</v>
      </c>
      <c r="F31" s="49"/>
      <c r="G31" s="50">
        <f>IF(AND(G25&gt;E25,$AK8&gt;1,ISNUMBER(E25),ISNUMBER(G25)),1,0)</f>
        <v>0</v>
      </c>
      <c r="H31" s="49">
        <f>IF(AND(H25&gt;J25,$AK8&gt;2,ISNUMBER(H25),ISNUMBER(J25)),1,0)</f>
        <v>1</v>
      </c>
      <c r="I31" s="49"/>
      <c r="J31" s="50">
        <f>IF(AND(J25&gt;H25,$AK8&gt;2,ISNUMBER(H25),ISNUMBER(J25)),1,0)</f>
        <v>0</v>
      </c>
      <c r="K31" s="49">
        <f>IF(AND(K25&gt;M25,$AK8&gt;3,ISNUMBER(K25),ISNUMBER(M25)),1,0)</f>
        <v>0</v>
      </c>
      <c r="L31" s="49"/>
      <c r="M31" s="50">
        <f>IF(AND(M25&gt;K25,$AK8&gt;3,ISNUMBER(K25),ISNUMBER(M25)),1,0)</f>
        <v>1</v>
      </c>
      <c r="N31" s="49">
        <f>IF(AND(N25&gt;P25,$AK8&gt;4,ISNUMBER(N25),ISNUMBER(P25)),1,0)</f>
        <v>0</v>
      </c>
      <c r="O31" s="49"/>
      <c r="P31" s="50">
        <f>IF(AND(P25&gt;N25,$AK8&gt;4,ISNUMBER(N25),ISNUMBER(P25)),1,0)</f>
        <v>1</v>
      </c>
      <c r="Q31" s="49">
        <f>IF(AND(Q25&gt;S25,$AK8&gt;5,ISNUMBER(Q25),ISNUMBER(S25)),1,0)</f>
        <v>0</v>
      </c>
      <c r="R31" s="49"/>
      <c r="S31" s="50">
        <f>IF(AND(S25&gt;Q25,$AK8&gt;5,ISNUMBER(Q25),ISNUMBER(S25)),1,0)</f>
        <v>1</v>
      </c>
      <c r="T31" s="49">
        <f>IF(AND(T25&gt;V25,$AK8&gt;6,ISNUMBER(T25),ISNUMBER(V25)),1,0)</f>
        <v>0</v>
      </c>
      <c r="U31" s="49"/>
      <c r="V31" s="50">
        <f>IF(AND(V25&gt;T25,$AK8&gt;6,ISNUMBER(T25),ISNUMBER(V25)),1,0)</f>
        <v>0</v>
      </c>
      <c r="W31" s="49">
        <f>IF(AND(W25&gt;Y25,$AK8&gt;7,ISNUMBER(W25),ISNUMBER(Y25)),1,0)</f>
        <v>0</v>
      </c>
      <c r="X31" s="49"/>
      <c r="Y31" s="50">
        <f>IF(AND(Y25&gt;W25,$AK8&gt;7,ISNUMBER(W25),ISNUMBER(Y25)),1,0)</f>
        <v>0</v>
      </c>
      <c r="Z31" s="49">
        <f>IF(AND(Z25&gt;AB25,$AK8&gt;8,ISNUMBER(Z25),ISNUMBER(AB25)),1,0)</f>
        <v>0</v>
      </c>
      <c r="AA31" s="49"/>
      <c r="AB31" s="50">
        <f>IF(AND(AB25&gt;Z25,$AK8&gt;8,ISNUMBER(Z25),ISNUMBER(AB25)),1,0)</f>
        <v>0</v>
      </c>
      <c r="AC31" s="49">
        <f>IF(AND(AC25&gt;AE25,$AK8&gt;9,ISNUMBER(AC25),ISNUMBER(AE25)),1,0)</f>
        <v>0</v>
      </c>
      <c r="AD31" s="49"/>
      <c r="AE31" s="50">
        <f>IF(AND(AE25&gt;AC25,$AK8&gt;9,ISNUMBER(AC25),ISNUMBER(AE25)),1,0)</f>
        <v>0</v>
      </c>
    </row>
    <row r="32" spans="1:48" s="48" customFormat="1" ht="12.75" hidden="1" customHeight="1" x14ac:dyDescent="0.25">
      <c r="A32" s="48" t="s">
        <v>62</v>
      </c>
      <c r="B32" s="49">
        <f>IF(AND(B26&gt;D26,$AK8&gt;0,$AK7&gt;1,ISNUMBER(B26),ISNUMBER(D26)),1,0)</f>
        <v>0</v>
      </c>
      <c r="C32" s="49"/>
      <c r="D32" s="50">
        <f>IF(AND(D26&gt;B26,$AK8&gt;0,$AK7&gt;1,ISNUMBER(B26),ISNUMBER(D26)),1,0)</f>
        <v>0</v>
      </c>
      <c r="E32" s="49">
        <f>IF(AND(E26&gt;G26,$AK8&gt;1,$AK7&gt;1,ISNUMBER(E26),ISNUMBER(G26)),1,0)</f>
        <v>0</v>
      </c>
      <c r="F32" s="49"/>
      <c r="G32" s="50">
        <f>IF(AND(G26&gt;E26,$AK8&gt;1,$AK7&gt;1,ISNUMBER(E26),ISNUMBER(G26)),1,0)</f>
        <v>0</v>
      </c>
      <c r="H32" s="49">
        <f>IF(AND(H26&gt;J26,$AK8&gt;2,$AK7&gt;1,ISNUMBER(H26),ISNUMBER(J26)),1,0)</f>
        <v>0</v>
      </c>
      <c r="I32" s="49"/>
      <c r="J32" s="50">
        <f>IF(AND(J26&gt;H26,$AK8&gt;2,$AK7&gt;1,ISNUMBER(H26),ISNUMBER(J26)),1,0)</f>
        <v>0</v>
      </c>
      <c r="K32" s="49">
        <f>IF(AND(K26&gt;M26,$AK8&gt;3,$AK7&gt;1,ISNUMBER(K26),ISNUMBER(M26)),1,0)</f>
        <v>0</v>
      </c>
      <c r="L32" s="49"/>
      <c r="M32" s="50">
        <f>IF(AND(M26&gt;K26,$AK8&gt;3,$AK7&gt;1,ISNUMBER(K26),ISNUMBER(M26)),1,0)</f>
        <v>0</v>
      </c>
      <c r="N32" s="49">
        <f>IF(AND(N26&gt;P26,$AK8&gt;4,$AK7&gt;1,ISNUMBER(N26),ISNUMBER(P26)),1,0)</f>
        <v>0</v>
      </c>
      <c r="O32" s="49"/>
      <c r="P32" s="50">
        <f>IF(AND(P26&gt;N26,$AK8&gt;4,$AK7&gt;1,ISNUMBER(N26),ISNUMBER(P26)),1,0)</f>
        <v>0</v>
      </c>
      <c r="Q32" s="49">
        <f>IF(AND(Q26&gt;S26,$AK8&gt;5,$AK7&gt;1,ISNUMBER(Q26),ISNUMBER(S26)),1,0)</f>
        <v>0</v>
      </c>
      <c r="R32" s="49"/>
      <c r="S32" s="50">
        <f>IF(AND(S26&gt;Q26,$AK8&gt;5,$AK7&gt;1,ISNUMBER(Q26),ISNUMBER(S26)),1,0)</f>
        <v>0</v>
      </c>
      <c r="T32" s="49">
        <f>IF(AND(T26&gt;V26,$AK8&gt;6,$AK7&gt;1,ISNUMBER(T26),ISNUMBER(V26)),1,0)</f>
        <v>0</v>
      </c>
      <c r="U32" s="49"/>
      <c r="V32" s="50">
        <f>IF(AND(V26&gt;T26,$AK8&gt;6,$AK7&gt;1,ISNUMBER(T26),ISNUMBER(V26)),1,0)</f>
        <v>0</v>
      </c>
      <c r="W32" s="49">
        <f>IF(AND(W26&gt;Y26,$AK8&gt;7,$AK7&gt;1,ISNUMBER(W26),ISNUMBER(Y26)),1,0)</f>
        <v>0</v>
      </c>
      <c r="X32" s="49"/>
      <c r="Y32" s="50">
        <f>IF(AND(Y26&gt;W26,$AK8&gt;7,$AK7&gt;1,ISNUMBER(W26),ISNUMBER(Y26)),1,0)</f>
        <v>0</v>
      </c>
      <c r="Z32" s="49">
        <f>IF(AND(Z26&gt;AB26,$AK8&gt;8,$AK7&gt;1,ISNUMBER(Z26),ISNUMBER(AB26)),1,0)</f>
        <v>0</v>
      </c>
      <c r="AA32" s="49"/>
      <c r="AB32" s="50">
        <f>IF(AND(AB26&gt;Z26,$AK8&gt;8,$AK7&gt;1,ISNUMBER(Z26),ISNUMBER(AB26)),1,0)</f>
        <v>0</v>
      </c>
      <c r="AC32" s="49">
        <f>IF(AND(AC26&gt;AE26,$AK8&gt;9,$AK7&gt;1,ISNUMBER(AC26),ISNUMBER(AE26)),1,0)</f>
        <v>0</v>
      </c>
      <c r="AD32" s="49"/>
      <c r="AE32" s="50">
        <f>IF(AND(AE26&gt;AC26,$AK8&gt;9,$AK7&gt;1,ISNUMBER(AC26),ISNUMBER(AE26)),1,0)</f>
        <v>0</v>
      </c>
    </row>
    <row r="33" spans="1:33" s="48" customFormat="1" ht="12.75" hidden="1" customHeight="1" x14ac:dyDescent="0.25">
      <c r="A33" s="48" t="s">
        <v>63</v>
      </c>
      <c r="B33" s="49">
        <f>IF(AND(B27&gt;D27,$AK8&gt;0,$AK7&gt;2,ISNUMBER(B27),ISNUMBER(D27)),1,0)</f>
        <v>0</v>
      </c>
      <c r="C33" s="49"/>
      <c r="D33" s="50">
        <f>IF(AND(D27&gt;B27,$AK8&gt;0,$AK7&gt;2,ISNUMBER(B27),ISNUMBER(D27)),1,0)</f>
        <v>0</v>
      </c>
      <c r="E33" s="49">
        <f>IF(AND(E27&gt;G27,$AK8&gt;1,$AK7&gt;2,ISNUMBER(E27),ISNUMBER(G27)),1,0)</f>
        <v>0</v>
      </c>
      <c r="F33" s="49"/>
      <c r="G33" s="50">
        <f>IF(AND(G27&gt;E27,$AK8&gt;1,$AK7&gt;2,ISNUMBER(E27),ISNUMBER(G27)),1,0)</f>
        <v>0</v>
      </c>
      <c r="H33" s="49">
        <f>IF(AND(H27&gt;J27,$AK8&gt;2,$AK7&gt;2,ISNUMBER(H27),ISNUMBER(J27)),1,0)</f>
        <v>0</v>
      </c>
      <c r="I33" s="49"/>
      <c r="J33" s="50">
        <f>IF(AND(J27&gt;H27,$AK8&gt;2,$AK7&gt;2,ISNUMBER(H27),ISNUMBER(J27)),1,0)</f>
        <v>0</v>
      </c>
      <c r="K33" s="49">
        <f>IF(AND(K27&gt;M27,$AK8&gt;3,$AK7&gt;2,ISNUMBER(K27),ISNUMBER(M27)),1,0)</f>
        <v>0</v>
      </c>
      <c r="L33" s="49"/>
      <c r="M33" s="50">
        <f>IF(AND(M27&gt;K27,$AK8&gt;3,$AK7&gt;2,ISNUMBER(K27),ISNUMBER(M27)),1,0)</f>
        <v>0</v>
      </c>
      <c r="N33" s="49">
        <f>IF(AND(N27&gt;P27,$AK8&gt;4,$AK7&gt;2,ISNUMBER(N27),ISNUMBER(P27)),1,0)</f>
        <v>0</v>
      </c>
      <c r="O33" s="49"/>
      <c r="P33" s="50">
        <f>IF(AND(P27&gt;N27,$AK8&gt;4,$AK7&gt;2,ISNUMBER(N27),ISNUMBER(P27)),1,0)</f>
        <v>0</v>
      </c>
      <c r="Q33" s="49">
        <f>IF(AND(Q27&gt;S27,$AK8&gt;5,$AK7&gt;2,ISNUMBER(Q27),ISNUMBER(S27)),1,0)</f>
        <v>0</v>
      </c>
      <c r="R33" s="49"/>
      <c r="S33" s="50">
        <f>IF(AND(S27&gt;Q27,$AK8&gt;5,$AK7&gt;2,ISNUMBER(Q27),ISNUMBER(S27)),1,0)</f>
        <v>0</v>
      </c>
      <c r="T33" s="49">
        <f>IF(AND(T27&gt;V27,$AK8&gt;6,$AK7&gt;2,ISNUMBER(T27),ISNUMBER(V27)),1,0)</f>
        <v>0</v>
      </c>
      <c r="U33" s="49"/>
      <c r="V33" s="50">
        <f>IF(AND(V27&gt;T27,$AK8&gt;6,$AK7&gt;2,ISNUMBER(T27),ISNUMBER(V27)),1,0)</f>
        <v>0</v>
      </c>
      <c r="W33" s="49">
        <f>IF(AND(W27&gt;Y27,$AK8&gt;7,$AK7&gt;2,ISNUMBER(W27),ISNUMBER(Y27)),1,0)</f>
        <v>0</v>
      </c>
      <c r="X33" s="49"/>
      <c r="Y33" s="50">
        <f>IF(AND(Y27&gt;W27,$AK8&gt;7,$AK7&gt;2,ISNUMBER(W27),ISNUMBER(Y27)),1,0)</f>
        <v>0</v>
      </c>
      <c r="Z33" s="49">
        <f>IF(AND(Z27&gt;AB27,$AK8&gt;8,$AK7&gt;2,ISNUMBER(Z27),ISNUMBER(AB27)),1,0)</f>
        <v>0</v>
      </c>
      <c r="AA33" s="49"/>
      <c r="AB33" s="50">
        <f>IF(AND(AB27&gt;Z27,$AK8&gt;8,$AK7&gt;2,ISNUMBER(Z27),ISNUMBER(AB27)),1,0)</f>
        <v>0</v>
      </c>
      <c r="AC33" s="49">
        <f>IF(AND(AC27&gt;AE27,$AK8&gt;9,$AK7&gt;2,ISNUMBER(AC27),ISNUMBER(AE27)),1,0)</f>
        <v>0</v>
      </c>
      <c r="AD33" s="49"/>
      <c r="AE33" s="50">
        <f>IF(AND(AE27&gt;AC27,$AK8&gt;9,$AK7&gt;2,ISNUMBER(AC27),ISNUMBER(AE27)),1,0)</f>
        <v>0</v>
      </c>
    </row>
    <row r="34" spans="1:33" s="48" customFormat="1" ht="12.75" hidden="1" customHeight="1" x14ac:dyDescent="0.25">
      <c r="A34" s="48" t="s">
        <v>64</v>
      </c>
      <c r="B34" s="49">
        <f>IF(AND(B28&gt;D28,$AK8&gt;0,$AK7&gt;3,ISNUMBER(B28),ISNUMBER(D28)),1,0)</f>
        <v>0</v>
      </c>
      <c r="C34" s="49"/>
      <c r="D34" s="50">
        <f>IF(AND(D28&gt;B28,$AK8&gt;0,$AK7&gt;3,ISNUMBER(B28),ISNUMBER(D28)),1,0)</f>
        <v>0</v>
      </c>
      <c r="E34" s="49">
        <f>IF(AND(E28&gt;G28,$AK8&gt;1,$AK7&gt;3,ISNUMBER(E28),ISNUMBER(G28)),1,0)</f>
        <v>0</v>
      </c>
      <c r="F34" s="49"/>
      <c r="G34" s="50">
        <f>IF(AND(G28&gt;E28,$AK8&gt;1,$AK7&gt;3,ISNUMBER(E28),ISNUMBER(G28)),1,0)</f>
        <v>0</v>
      </c>
      <c r="H34" s="49">
        <f>IF(AND(H28&gt;J28,$AK8&gt;2,$AK7&gt;3,ISNUMBER(H28),ISNUMBER(J28)),1,0)</f>
        <v>0</v>
      </c>
      <c r="I34" s="49"/>
      <c r="J34" s="50">
        <f>IF(AND(J28&gt;H28,$AK8&gt;2,$AK7&gt;3,ISNUMBER(H28),ISNUMBER(J28)),1,0)</f>
        <v>0</v>
      </c>
      <c r="K34" s="49">
        <f>IF(AND(K28&gt;M28,$AK8&gt;3,$AK7&gt;3,ISNUMBER(K28),ISNUMBER(M28)),1,0)</f>
        <v>0</v>
      </c>
      <c r="L34" s="49"/>
      <c r="M34" s="50">
        <f>IF(AND(M28&gt;K28,$AK8&gt;3,$AK7&gt;3,ISNUMBER(K28),ISNUMBER(M28)),1,0)</f>
        <v>0</v>
      </c>
      <c r="N34" s="49">
        <f>IF(AND(N28&gt;P28,$AK8&gt;4,$AK7&gt;3,ISNUMBER(N28),ISNUMBER(P28)),1,0)</f>
        <v>0</v>
      </c>
      <c r="O34" s="49"/>
      <c r="P34" s="50">
        <f>IF(AND(P28&gt;N28,$AK8&gt;4,$AK7&gt;3,ISNUMBER(N28),ISNUMBER(P28)),1,0)</f>
        <v>0</v>
      </c>
      <c r="Q34" s="49">
        <f>IF(AND(Q28&gt;S28,$AK8&gt;5,$AK7&gt;3,ISNUMBER(Q28),ISNUMBER(S28)),1,0)</f>
        <v>0</v>
      </c>
      <c r="R34" s="49"/>
      <c r="S34" s="50">
        <f>IF(AND(S28&gt;Q28,$AK8&gt;5,$AK7&gt;3,ISNUMBER(Q28),ISNUMBER(S28)),1,0)</f>
        <v>0</v>
      </c>
      <c r="T34" s="49">
        <f>IF(AND(T28&gt;V28,$AK8&gt;6,$AK7&gt;3,ISNUMBER(T28),ISNUMBER(V28)),1,0)</f>
        <v>0</v>
      </c>
      <c r="U34" s="49"/>
      <c r="V34" s="50">
        <f>IF(AND(V28&gt;T28,$AK8&gt;6,$AK7&gt;3,ISNUMBER(T28),ISNUMBER(V28)),1,0)</f>
        <v>0</v>
      </c>
      <c r="W34" s="49">
        <f>IF(AND(W28&gt;Y28,$AK8&gt;7,$AK7&gt;3,ISNUMBER(W28),ISNUMBER(Y28)),1,0)</f>
        <v>0</v>
      </c>
      <c r="X34" s="49"/>
      <c r="Y34" s="50">
        <f>IF(AND(Y28&gt;W28,$AK8&gt;7,$AK7&gt;3,ISNUMBER(W28),ISNUMBER(Y28)),1,0)</f>
        <v>0</v>
      </c>
      <c r="Z34" s="49">
        <f>IF(AND(Z28&gt;AB28,$AK8&gt;8,$AK7&gt;3,ISNUMBER(Z28),ISNUMBER(AB28)),1,0)</f>
        <v>0</v>
      </c>
      <c r="AA34" s="49"/>
      <c r="AB34" s="50">
        <f>IF(AND(AB28&gt;Z28,$AK8&gt;8,$AK7&gt;3,ISNUMBER(Z28),ISNUMBER(AB28)),1,0)</f>
        <v>0</v>
      </c>
      <c r="AC34" s="49">
        <f>IF(AND(AC28&gt;AE28,$AK8&gt;9,$AK7&gt;3,ISNUMBER(AC28),ISNUMBER(AE28)),1,0)</f>
        <v>0</v>
      </c>
      <c r="AD34" s="49"/>
      <c r="AE34" s="50">
        <f>IF(AND(AE28&gt;AC28,$AK8&gt;9,$AK7&gt;3,ISNUMBER(AC28),ISNUMBER(AE28)),1,0)</f>
        <v>0</v>
      </c>
    </row>
    <row r="35" spans="1:33" s="48" customFormat="1" ht="12.75" hidden="1" customHeight="1" x14ac:dyDescent="0.25">
      <c r="A35" s="48" t="s">
        <v>65</v>
      </c>
      <c r="B35" s="49">
        <f>IF(AND(B29&gt;D29,$AK8&gt;0,$AK7&gt;4,ISNUMBER(B29),ISNUMBER(D29)),1,0)</f>
        <v>0</v>
      </c>
      <c r="C35" s="49"/>
      <c r="D35" s="50">
        <f>IF(AND(D29&gt;B29,$AK8&gt;0,$AK7&gt;4,ISNUMBER(B29),ISNUMBER(D29)),1,0)</f>
        <v>0</v>
      </c>
      <c r="E35" s="49">
        <f>IF(AND(E29&gt;G29,$AK8&gt;1,$AK7&gt;4,ISNUMBER(E29),ISNUMBER(G29)),1,0)</f>
        <v>0</v>
      </c>
      <c r="F35" s="49"/>
      <c r="G35" s="50">
        <f>IF(AND(G29&gt;E29,$AK8&gt;1,$AK7&gt;4,ISNUMBER(E29),ISNUMBER(G29)),1,0)</f>
        <v>0</v>
      </c>
      <c r="H35" s="49">
        <f>IF(AND(H29&gt;J29,$AK8&gt;2,$AK7&gt;4,ISNUMBER(H29),ISNUMBER(J29)),1,0)</f>
        <v>0</v>
      </c>
      <c r="I35" s="49"/>
      <c r="J35" s="50">
        <f>IF(AND(J29&gt;H29,$AK8&gt;2,$AK7&gt;4,ISNUMBER(H29),ISNUMBER(J29)),1,0)</f>
        <v>0</v>
      </c>
      <c r="K35" s="49">
        <f>IF(AND(K29&gt;M29,$AK8&gt;3,$AK7&gt;4,ISNUMBER(K29),ISNUMBER(M29)),1,0)</f>
        <v>0</v>
      </c>
      <c r="L35" s="49"/>
      <c r="M35" s="50">
        <f>IF(AND(M29&gt;K29,$AK8&gt;3,$AK7&gt;4,ISNUMBER(K29),ISNUMBER(M29)),1,0)</f>
        <v>0</v>
      </c>
      <c r="N35" s="49">
        <f>IF(AND(N29&gt;P29,$AK8&gt;4,$AK7&gt;4,ISNUMBER(N29),ISNUMBER(P29)),1,0)</f>
        <v>0</v>
      </c>
      <c r="O35" s="49"/>
      <c r="P35" s="50">
        <f>IF(AND(P29&gt;N29,$AK8&gt;4,$AK7&gt;4,ISNUMBER(N29),ISNUMBER(P29)),1,0)</f>
        <v>0</v>
      </c>
      <c r="Q35" s="49">
        <f>IF(AND(Q29&gt;S29,$AK8&gt;5,$AK7&gt;4,ISNUMBER(Q29),ISNUMBER(S29)),1,0)</f>
        <v>0</v>
      </c>
      <c r="R35" s="49"/>
      <c r="S35" s="50">
        <f>IF(AND(S29&gt;Q29,$AK8&gt;5,$AK7&gt;4,ISNUMBER(Q29),ISNUMBER(S29)),1,0)</f>
        <v>0</v>
      </c>
      <c r="T35" s="49">
        <f>IF(AND(T29&gt;V29,$AK8&gt;6,$AK7&gt;4,ISNUMBER(T29),ISNUMBER(V29)),1,0)</f>
        <v>0</v>
      </c>
      <c r="U35" s="49"/>
      <c r="V35" s="50">
        <f>IF(AND(V29&gt;T29,$AK8&gt;6,$AK7&gt;4,ISNUMBER(T29),ISNUMBER(V29)),1,0)</f>
        <v>0</v>
      </c>
      <c r="W35" s="49">
        <f>IF(AND(W29&gt;Y29,$AK8&gt;7,$AK7&gt;4,ISNUMBER(W29),ISNUMBER(Y29)),1,0)</f>
        <v>0</v>
      </c>
      <c r="X35" s="49"/>
      <c r="Y35" s="50">
        <f>IF(AND(Y29&gt;W29,$AK8&gt;7,$AK7&gt;4,ISNUMBER(W29),ISNUMBER(Y29)),1,0)</f>
        <v>0</v>
      </c>
      <c r="Z35" s="49">
        <f>IF(AND(Z29&gt;AB29,$AK8&gt;8,$AK7&gt;4,ISNUMBER(Z29),ISNUMBER(AB29)),1,0)</f>
        <v>0</v>
      </c>
      <c r="AA35" s="49"/>
      <c r="AB35" s="50">
        <f>IF(AND(AB29&gt;Z29,$AK8&gt;8,$AK7&gt;4,ISNUMBER(Z29),ISNUMBER(AB29)),1,0)</f>
        <v>0</v>
      </c>
      <c r="AC35" s="49">
        <f>IF(AND(AC29&gt;AE29,$AK8&gt;9,$AK7&gt;4,ISNUMBER(AC29),ISNUMBER(AE29)),1,0)</f>
        <v>0</v>
      </c>
      <c r="AD35" s="49"/>
      <c r="AE35" s="50">
        <f>IF(AND(AE29&gt;AC29,$AK8&gt;9,$AK7&gt;4,ISNUMBER(AC29),ISNUMBER(AE29)),1,0)</f>
        <v>0</v>
      </c>
    </row>
    <row r="36" spans="1:33" s="48" customFormat="1" ht="38.25" hidden="1" customHeight="1" x14ac:dyDescent="0.25">
      <c r="A36" s="51" t="s">
        <v>66</v>
      </c>
      <c r="B36" s="48">
        <f>SUM(B31:B35)</f>
        <v>0</v>
      </c>
      <c r="D36" s="52">
        <f>SUM(D31:D35)</f>
        <v>1</v>
      </c>
      <c r="E36" s="48">
        <f>SUM(E31:E35)</f>
        <v>1</v>
      </c>
      <c r="G36" s="52">
        <f>SUM(G31:G35)</f>
        <v>0</v>
      </c>
      <c r="H36" s="48">
        <f>SUM(H31:H35)</f>
        <v>1</v>
      </c>
      <c r="J36" s="52">
        <f>SUM(J31:J35)</f>
        <v>0</v>
      </c>
      <c r="K36" s="48">
        <f>SUM(K31:K35)</f>
        <v>0</v>
      </c>
      <c r="M36" s="52">
        <f>SUM(M31:M35)</f>
        <v>1</v>
      </c>
      <c r="N36" s="48">
        <f>SUM(N31:N35)</f>
        <v>0</v>
      </c>
      <c r="P36" s="52">
        <f>SUM(P31:P35)</f>
        <v>1</v>
      </c>
      <c r="Q36" s="48">
        <f>SUM(Q31:Q35)</f>
        <v>0</v>
      </c>
      <c r="S36" s="52">
        <f>SUM(S31:S35)</f>
        <v>1</v>
      </c>
      <c r="T36" s="48">
        <f>SUM(T31:T35)</f>
        <v>0</v>
      </c>
      <c r="V36" s="52">
        <f>SUM(V31:V35)</f>
        <v>0</v>
      </c>
      <c r="W36" s="48">
        <f>SUM(W31:W35)</f>
        <v>0</v>
      </c>
      <c r="Y36" s="52">
        <f>SUM(Y31:Y35)</f>
        <v>0</v>
      </c>
      <c r="Z36" s="48">
        <f>SUM(Z31:Z35)</f>
        <v>0</v>
      </c>
      <c r="AB36" s="52">
        <f>SUM(AB31:AB35)</f>
        <v>0</v>
      </c>
      <c r="AC36" s="48">
        <f>SUM(AC31:AC35)</f>
        <v>0</v>
      </c>
      <c r="AE36" s="52">
        <f>SUM(AE31:AE35)</f>
        <v>0</v>
      </c>
    </row>
    <row r="37" spans="1:33" s="48" customFormat="1" ht="25.5" hidden="1" customHeight="1" x14ac:dyDescent="0.25">
      <c r="A37" s="51" t="s">
        <v>67</v>
      </c>
      <c r="B37" s="48">
        <f>IF(B36&gt;D36,IF(C71=AK7,1,IF(C71=AK7-1,1,0)),0)</f>
        <v>0</v>
      </c>
      <c r="C37" s="48">
        <f>B37+D37</f>
        <v>1</v>
      </c>
      <c r="D37" s="52">
        <f>IF(D36&gt;B36,IF(C71=AK7,1,IF(C71=AK7-1,1,0)),0)</f>
        <v>1</v>
      </c>
      <c r="E37" s="48">
        <f>IF(E36&gt;G36,IF(F71=AK7,1,IF(F71=AK7-1,1,0)),0)</f>
        <v>1</v>
      </c>
      <c r="F37" s="48">
        <f>E37+G37</f>
        <v>1</v>
      </c>
      <c r="G37" s="52">
        <f>IF(G36&gt;E36,IF(F71=AK7,1,IF(F71=AK7-1,1,0)),0)</f>
        <v>0</v>
      </c>
      <c r="H37" s="48">
        <f>IF(H36&gt;J36,IF(I71=AK7,1,IF(I71=AK7-1,1,0)),0)</f>
        <v>1</v>
      </c>
      <c r="I37" s="48">
        <f>H37+J37</f>
        <v>1</v>
      </c>
      <c r="J37" s="52">
        <f>IF(J36&gt;H36,IF(I71=AK7,1,IF(I71=AK7-1,1,0)),0)</f>
        <v>0</v>
      </c>
      <c r="K37" s="48">
        <f>IF(K36&gt;M36,IF(L71=AK7,1,IF(L71=AK7-1,1,0)),0)</f>
        <v>0</v>
      </c>
      <c r="L37" s="48">
        <f>K37+M37</f>
        <v>1</v>
      </c>
      <c r="M37" s="52">
        <f>IF(M36&gt;K36,IF(L71=AK7,1,IF(L71=AK7-1,1,0)),0)</f>
        <v>1</v>
      </c>
      <c r="N37" s="48">
        <f>IF(N36&gt;P36,IF(O71=AK7,1,IF(O71=AK7-1,1,0)),0)</f>
        <v>0</v>
      </c>
      <c r="O37" s="48">
        <f>N37+P37</f>
        <v>1</v>
      </c>
      <c r="P37" s="52">
        <f>IF(P36&gt;N36,IF(O71=AK7,1,IF(O71=AK7-1,1,0)),0)</f>
        <v>1</v>
      </c>
      <c r="Q37" s="48">
        <f>IF(Q36&gt;S36,IF(R71=AK7,1,IF(R71=AK7-1,1,0)),0)</f>
        <v>0</v>
      </c>
      <c r="R37" s="48">
        <f>Q37+S37</f>
        <v>1</v>
      </c>
      <c r="S37" s="52">
        <f>IF(S36&gt;Q36,IF(R71=AK7,1,IF(R71=AK7-1,1,0)),0)</f>
        <v>1</v>
      </c>
      <c r="T37" s="48">
        <f>IF(T36&gt;V36,IF(U71=AK7,1,IF(U71=AK7-1,1,0)),0)</f>
        <v>0</v>
      </c>
      <c r="U37" s="48">
        <f>T37+V37</f>
        <v>0</v>
      </c>
      <c r="V37" s="52">
        <f>IF(V36&gt;T36,IF(U71=AK7,1,IF(U71=AK7-1,1,0)),0)</f>
        <v>0</v>
      </c>
      <c r="W37" s="48">
        <f>IF(W36&gt;Y36,IF(X71=AK7,1,IF(X71=AK7-1,1,0)),0)</f>
        <v>0</v>
      </c>
      <c r="X37" s="48">
        <f>W37+Y37</f>
        <v>0</v>
      </c>
      <c r="Y37" s="52">
        <f>IF(Y36&gt;W36,IF(X71=AK7,1,IF(X71=AK7-1,1,0)),0)</f>
        <v>0</v>
      </c>
      <c r="Z37" s="48">
        <f>IF(Z36&gt;AB36,IF(AA71=AK7,1,IF(AA71=AK7-1,1,0)),0)</f>
        <v>0</v>
      </c>
      <c r="AA37" s="48">
        <f>Z37+AB37</f>
        <v>0</v>
      </c>
      <c r="AB37" s="52">
        <f>IF(AB36&gt;Z36,IF(AA71=AK7,1,IF(AA71=AK7-1,1,0)),0)</f>
        <v>0</v>
      </c>
      <c r="AC37" s="48">
        <f>IF(AC36&gt;AE36,IF(AD71=AK7,1,IF(AD71=AK7-1,1,0)),0)</f>
        <v>0</v>
      </c>
      <c r="AD37" s="48">
        <f>AC37+AE37</f>
        <v>0</v>
      </c>
      <c r="AE37" s="52">
        <f>IF(AE36&gt;AC36,IF(AD71=AK7,1,IF(AD71=AK7-1,1,0)),0)</f>
        <v>0</v>
      </c>
    </row>
    <row r="38" spans="1:33" s="48" customFormat="1" ht="25.5" hidden="1" customHeight="1" x14ac:dyDescent="0.25">
      <c r="A38" s="51"/>
      <c r="D38" s="52"/>
      <c r="G38" s="52"/>
      <c r="J38" s="52"/>
      <c r="M38" s="52"/>
      <c r="P38" s="52"/>
      <c r="S38" s="52"/>
      <c r="V38" s="52"/>
      <c r="Y38" s="52"/>
      <c r="AB38" s="52"/>
      <c r="AE38" s="52"/>
    </row>
    <row r="39" spans="1:33" s="48" customFormat="1" ht="12.75" hidden="1" customHeight="1" x14ac:dyDescent="0.25">
      <c r="A39" s="48" t="s">
        <v>68</v>
      </c>
      <c r="B39" s="48">
        <f>IF(B31=1,B25,0)</f>
        <v>0</v>
      </c>
      <c r="D39" s="52">
        <f t="shared" ref="D39:E43" si="0">IF(D31=1,D25,0)</f>
        <v>20</v>
      </c>
      <c r="E39" s="48">
        <f t="shared" si="0"/>
        <v>18</v>
      </c>
      <c r="G39" s="52">
        <f t="shared" ref="G39:H43" si="1">IF(G31=1,G25,0)</f>
        <v>0</v>
      </c>
      <c r="H39" s="48">
        <f t="shared" si="1"/>
        <v>23</v>
      </c>
      <c r="J39" s="52">
        <f t="shared" ref="J39:K43" si="2">IF(J31=1,J25,0)</f>
        <v>0</v>
      </c>
      <c r="K39" s="48">
        <f t="shared" si="2"/>
        <v>0</v>
      </c>
      <c r="M39" s="52">
        <f t="shared" ref="M39:N43" si="3">IF(M31=1,M25,0)</f>
        <v>20</v>
      </c>
      <c r="N39" s="48">
        <f t="shared" si="3"/>
        <v>0</v>
      </c>
      <c r="P39" s="52">
        <f t="shared" ref="P39:Q43" si="4">IF(P31=1,P25,0)</f>
        <v>18</v>
      </c>
      <c r="Q39" s="48">
        <f t="shared" si="4"/>
        <v>0</v>
      </c>
      <c r="S39" s="52">
        <f t="shared" ref="S39:T43" si="5">IF(S31=1,S25,0)</f>
        <v>20</v>
      </c>
      <c r="T39" s="48">
        <f t="shared" si="5"/>
        <v>0</v>
      </c>
      <c r="V39" s="52">
        <f t="shared" ref="V39:W43" si="6">IF(V31=1,V25,0)</f>
        <v>0</v>
      </c>
      <c r="W39" s="48">
        <f t="shared" si="6"/>
        <v>0</v>
      </c>
      <c r="Y39" s="52">
        <f t="shared" ref="Y39:Z43" si="7">IF(Y31=1,Y25,0)</f>
        <v>0</v>
      </c>
      <c r="Z39" s="48">
        <f t="shared" si="7"/>
        <v>0</v>
      </c>
      <c r="AB39" s="52">
        <f t="shared" ref="AB39:AC43" si="8">IF(AB31=1,AB25,0)</f>
        <v>0</v>
      </c>
      <c r="AC39" s="48">
        <f t="shared" si="8"/>
        <v>0</v>
      </c>
      <c r="AE39" s="52">
        <f>IF(AE31=1,AE25,0)</f>
        <v>0</v>
      </c>
    </row>
    <row r="40" spans="1:33" s="48" customFormat="1" ht="12.75" hidden="1" customHeight="1" x14ac:dyDescent="0.25">
      <c r="A40" s="48" t="s">
        <v>69</v>
      </c>
      <c r="B40" s="48">
        <f>IF(B32=1,B26,0)</f>
        <v>0</v>
      </c>
      <c r="D40" s="52">
        <f t="shared" si="0"/>
        <v>0</v>
      </c>
      <c r="E40" s="48">
        <f t="shared" si="0"/>
        <v>0</v>
      </c>
      <c r="G40" s="52">
        <f t="shared" si="1"/>
        <v>0</v>
      </c>
      <c r="H40" s="48">
        <f t="shared" si="1"/>
        <v>0</v>
      </c>
      <c r="J40" s="52">
        <f t="shared" si="2"/>
        <v>0</v>
      </c>
      <c r="K40" s="48">
        <f t="shared" si="2"/>
        <v>0</v>
      </c>
      <c r="M40" s="52">
        <f t="shared" si="3"/>
        <v>0</v>
      </c>
      <c r="N40" s="48">
        <f t="shared" si="3"/>
        <v>0</v>
      </c>
      <c r="P40" s="52">
        <f t="shared" si="4"/>
        <v>0</v>
      </c>
      <c r="Q40" s="48">
        <f t="shared" si="4"/>
        <v>0</v>
      </c>
      <c r="S40" s="52">
        <f t="shared" si="5"/>
        <v>0</v>
      </c>
      <c r="T40" s="48">
        <f t="shared" si="5"/>
        <v>0</v>
      </c>
      <c r="V40" s="52">
        <f t="shared" si="6"/>
        <v>0</v>
      </c>
      <c r="W40" s="48">
        <f t="shared" si="6"/>
        <v>0</v>
      </c>
      <c r="Y40" s="52">
        <f t="shared" si="7"/>
        <v>0</v>
      </c>
      <c r="Z40" s="48">
        <f t="shared" si="7"/>
        <v>0</v>
      </c>
      <c r="AB40" s="52">
        <f t="shared" si="8"/>
        <v>0</v>
      </c>
      <c r="AC40" s="48">
        <f t="shared" si="8"/>
        <v>0</v>
      </c>
      <c r="AE40" s="52">
        <f>IF(AE32=1,AE26,0)</f>
        <v>0</v>
      </c>
    </row>
    <row r="41" spans="1:33" s="48" customFormat="1" ht="12.75" hidden="1" customHeight="1" x14ac:dyDescent="0.25">
      <c r="A41" s="48" t="s">
        <v>70</v>
      </c>
      <c r="B41" s="48">
        <f>IF(B33=1,B27,0)</f>
        <v>0</v>
      </c>
      <c r="D41" s="52">
        <f t="shared" si="0"/>
        <v>0</v>
      </c>
      <c r="E41" s="48">
        <f t="shared" si="0"/>
        <v>0</v>
      </c>
      <c r="G41" s="52">
        <f t="shared" si="1"/>
        <v>0</v>
      </c>
      <c r="H41" s="48">
        <f t="shared" si="1"/>
        <v>0</v>
      </c>
      <c r="J41" s="52">
        <f t="shared" si="2"/>
        <v>0</v>
      </c>
      <c r="K41" s="48">
        <f t="shared" si="2"/>
        <v>0</v>
      </c>
      <c r="M41" s="52">
        <f t="shared" si="3"/>
        <v>0</v>
      </c>
      <c r="N41" s="48">
        <f t="shared" si="3"/>
        <v>0</v>
      </c>
      <c r="P41" s="52">
        <f t="shared" si="4"/>
        <v>0</v>
      </c>
      <c r="Q41" s="48">
        <f t="shared" si="4"/>
        <v>0</v>
      </c>
      <c r="S41" s="52">
        <f t="shared" si="5"/>
        <v>0</v>
      </c>
      <c r="T41" s="48">
        <f t="shared" si="5"/>
        <v>0</v>
      </c>
      <c r="V41" s="52">
        <f t="shared" si="6"/>
        <v>0</v>
      </c>
      <c r="W41" s="48">
        <f t="shared" si="6"/>
        <v>0</v>
      </c>
      <c r="Y41" s="52">
        <f t="shared" si="7"/>
        <v>0</v>
      </c>
      <c r="Z41" s="48">
        <f t="shared" si="7"/>
        <v>0</v>
      </c>
      <c r="AB41" s="52">
        <f t="shared" si="8"/>
        <v>0</v>
      </c>
      <c r="AC41" s="48">
        <f t="shared" si="8"/>
        <v>0</v>
      </c>
      <c r="AE41" s="52">
        <f>IF(AE33=1,AE27,0)</f>
        <v>0</v>
      </c>
    </row>
    <row r="42" spans="1:33" s="48" customFormat="1" ht="12.75" hidden="1" customHeight="1" x14ac:dyDescent="0.25">
      <c r="A42" s="48" t="s">
        <v>71</v>
      </c>
      <c r="B42" s="48">
        <f>IF(B34=1,B28,0)</f>
        <v>0</v>
      </c>
      <c r="D42" s="52">
        <f t="shared" si="0"/>
        <v>0</v>
      </c>
      <c r="E42" s="48">
        <f t="shared" si="0"/>
        <v>0</v>
      </c>
      <c r="G42" s="52">
        <f t="shared" si="1"/>
        <v>0</v>
      </c>
      <c r="H42" s="48">
        <f t="shared" si="1"/>
        <v>0</v>
      </c>
      <c r="J42" s="52">
        <f t="shared" si="2"/>
        <v>0</v>
      </c>
      <c r="K42" s="48">
        <f t="shared" si="2"/>
        <v>0</v>
      </c>
      <c r="M42" s="52">
        <f t="shared" si="3"/>
        <v>0</v>
      </c>
      <c r="N42" s="48">
        <f t="shared" si="3"/>
        <v>0</v>
      </c>
      <c r="P42" s="52">
        <f t="shared" si="4"/>
        <v>0</v>
      </c>
      <c r="Q42" s="48">
        <f t="shared" si="4"/>
        <v>0</v>
      </c>
      <c r="S42" s="52">
        <f t="shared" si="5"/>
        <v>0</v>
      </c>
      <c r="T42" s="48">
        <f t="shared" si="5"/>
        <v>0</v>
      </c>
      <c r="V42" s="52">
        <f t="shared" si="6"/>
        <v>0</v>
      </c>
      <c r="W42" s="48">
        <f t="shared" si="6"/>
        <v>0</v>
      </c>
      <c r="Y42" s="52">
        <f t="shared" si="7"/>
        <v>0</v>
      </c>
      <c r="Z42" s="48">
        <f t="shared" si="7"/>
        <v>0</v>
      </c>
      <c r="AB42" s="52">
        <f t="shared" si="8"/>
        <v>0</v>
      </c>
      <c r="AC42" s="48">
        <f t="shared" si="8"/>
        <v>0</v>
      </c>
      <c r="AE42" s="52">
        <f>IF(AE34=1,AE28,0)</f>
        <v>0</v>
      </c>
    </row>
    <row r="43" spans="1:33" s="48" customFormat="1" ht="12.75" hidden="1" customHeight="1" x14ac:dyDescent="0.25">
      <c r="A43" s="48" t="s">
        <v>72</v>
      </c>
      <c r="B43" s="48">
        <f>IF(B35=1,B29,0)</f>
        <v>0</v>
      </c>
      <c r="D43" s="52">
        <f t="shared" si="0"/>
        <v>0</v>
      </c>
      <c r="E43" s="48">
        <f t="shared" si="0"/>
        <v>0</v>
      </c>
      <c r="G43" s="52">
        <f t="shared" si="1"/>
        <v>0</v>
      </c>
      <c r="H43" s="48">
        <f t="shared" si="1"/>
        <v>0</v>
      </c>
      <c r="J43" s="52">
        <f t="shared" si="2"/>
        <v>0</v>
      </c>
      <c r="K43" s="48">
        <f t="shared" si="2"/>
        <v>0</v>
      </c>
      <c r="M43" s="52">
        <f t="shared" si="3"/>
        <v>0</v>
      </c>
      <c r="N43" s="48">
        <f t="shared" si="3"/>
        <v>0</v>
      </c>
      <c r="P43" s="52">
        <f t="shared" si="4"/>
        <v>0</v>
      </c>
      <c r="Q43" s="48">
        <f t="shared" si="4"/>
        <v>0</v>
      </c>
      <c r="S43" s="52">
        <f t="shared" si="5"/>
        <v>0</v>
      </c>
      <c r="T43" s="48">
        <f t="shared" si="5"/>
        <v>0</v>
      </c>
      <c r="V43" s="52">
        <f t="shared" si="6"/>
        <v>0</v>
      </c>
      <c r="W43" s="48">
        <f t="shared" si="6"/>
        <v>0</v>
      </c>
      <c r="Y43" s="52">
        <f t="shared" si="7"/>
        <v>0</v>
      </c>
      <c r="Z43" s="48">
        <f t="shared" si="7"/>
        <v>0</v>
      </c>
      <c r="AB43" s="52">
        <f t="shared" si="8"/>
        <v>0</v>
      </c>
      <c r="AC43" s="48">
        <f t="shared" si="8"/>
        <v>0</v>
      </c>
      <c r="AE43" s="52">
        <f>IF(AE35=1,AE29,0)</f>
        <v>0</v>
      </c>
    </row>
    <row r="44" spans="1:33" s="48" customFormat="1" ht="38.25" hidden="1" customHeight="1" x14ac:dyDescent="0.25">
      <c r="A44" s="51" t="s">
        <v>73</v>
      </c>
      <c r="B44" s="48">
        <f>SUM(B39:D43)</f>
        <v>20</v>
      </c>
      <c r="D44" s="52"/>
      <c r="E44" s="48">
        <f>SUM(E39:G43)</f>
        <v>18</v>
      </c>
      <c r="G44" s="52"/>
      <c r="H44" s="48">
        <f>SUM(H39:J43)</f>
        <v>23</v>
      </c>
      <c r="J44" s="52"/>
      <c r="K44" s="48">
        <f>SUM(K39:M43)</f>
        <v>20</v>
      </c>
      <c r="M44" s="52"/>
      <c r="N44" s="48">
        <f>SUM(N39:P43)</f>
        <v>18</v>
      </c>
      <c r="P44" s="52"/>
      <c r="Q44" s="48">
        <f>SUM(Q39:S43)</f>
        <v>20</v>
      </c>
      <c r="S44" s="52"/>
      <c r="T44" s="48">
        <f>SUM(T39:V43)</f>
        <v>0</v>
      </c>
      <c r="V44" s="52"/>
      <c r="W44" s="48">
        <f>SUM(W39:Y43)</f>
        <v>0</v>
      </c>
      <c r="Y44" s="52"/>
      <c r="Z44" s="48">
        <f>SUM(Z39:AB43)</f>
        <v>0</v>
      </c>
      <c r="AB44" s="52"/>
      <c r="AC44" s="48">
        <f>SUM(AC39:AE43)</f>
        <v>0</v>
      </c>
      <c r="AE44" s="52"/>
    </row>
    <row r="45" spans="1:33" s="48" customFormat="1" ht="38.25" hidden="1" customHeight="1" x14ac:dyDescent="0.25">
      <c r="A45" s="48" t="s">
        <v>74</v>
      </c>
      <c r="D45" s="52"/>
      <c r="G45" s="52"/>
      <c r="J45" s="52"/>
      <c r="M45" s="52"/>
      <c r="P45" s="52"/>
      <c r="S45" s="52"/>
      <c r="V45" s="52"/>
      <c r="Y45" s="52"/>
      <c r="AB45" s="52"/>
      <c r="AE45" s="52"/>
      <c r="AF45" s="51" t="s">
        <v>75</v>
      </c>
      <c r="AG45" s="48" t="s">
        <v>76</v>
      </c>
    </row>
    <row r="46" spans="1:33" s="48" customFormat="1" ht="12.75" hidden="1" customHeight="1" x14ac:dyDescent="0.25">
      <c r="A46" s="48" t="s">
        <v>77</v>
      </c>
      <c r="B46" s="48">
        <f>IF(B24=1,IF(B37=1,1,0),0)</f>
        <v>0</v>
      </c>
      <c r="D46" s="52">
        <f>IF(D24=1,IF(D37=1,1,0),0)</f>
        <v>0</v>
      </c>
      <c r="E46" s="48">
        <f>IF(E24=1,IF(E37=1,1,0),0)</f>
        <v>1</v>
      </c>
      <c r="G46" s="52">
        <f>IF(G24=1,IF(G37=1,1,0),0)</f>
        <v>0</v>
      </c>
      <c r="H46" s="48">
        <f>IF(H24=1,IF(H37=1,1,0),0)</f>
        <v>0</v>
      </c>
      <c r="J46" s="52">
        <f>IF(J24=1,IF(J37=1,1,0),0)</f>
        <v>0</v>
      </c>
      <c r="K46" s="48">
        <f>IF(K24=1,IF(K37=1,1,0),0)</f>
        <v>0</v>
      </c>
      <c r="M46" s="52">
        <f>IF(M24=1,IF(M37=1,1,0),0)</f>
        <v>0</v>
      </c>
      <c r="N46" s="48">
        <f>IF(N24=1,IF(N37=1,1,0),0)</f>
        <v>0</v>
      </c>
      <c r="P46" s="52">
        <f>IF(P24=1,IF(P37=1,1,0),0)</f>
        <v>0</v>
      </c>
      <c r="Q46" s="48">
        <f>IF(Q24=1,IF(Q37=1,1,0),0)</f>
        <v>0</v>
      </c>
      <c r="S46" s="52">
        <f>IF(S24=1,IF(S37=1,1,0),0)</f>
        <v>0</v>
      </c>
      <c r="T46" s="48">
        <f>IF(T24=1,IF(T37=1,1,0),0)</f>
        <v>0</v>
      </c>
      <c r="V46" s="52">
        <f>IF(V24=1,IF(V37=1,1,0),0)</f>
        <v>0</v>
      </c>
      <c r="W46" s="48">
        <f>IF(W24=1,IF(W37=1,1,0),0)</f>
        <v>0</v>
      </c>
      <c r="Y46" s="52">
        <f>IF(Y24=1,IF(Y37=1,1,0),0)</f>
        <v>0</v>
      </c>
      <c r="Z46" s="48">
        <f>IF(Z24=1,IF(Z37=1,1,0),0)</f>
        <v>0</v>
      </c>
      <c r="AB46" s="52">
        <f>IF(AB24=1,IF(AB37=1,1,0),0)</f>
        <v>0</v>
      </c>
      <c r="AC46" s="48">
        <f>IF(AC24=1,IF(AC37=1,1,0),0)</f>
        <v>0</v>
      </c>
      <c r="AE46" s="52">
        <f>IF(AE24=1,IF(AE37=1,1,0),0)</f>
        <v>0</v>
      </c>
      <c r="AF46" s="48">
        <f>SUM(B46:AE46)</f>
        <v>1</v>
      </c>
      <c r="AG46" s="48">
        <f>AF52-AF46</f>
        <v>2</v>
      </c>
    </row>
    <row r="47" spans="1:33" s="48" customFormat="1" ht="12.75" hidden="1" customHeight="1" x14ac:dyDescent="0.25">
      <c r="A47" s="48" t="s">
        <v>78</v>
      </c>
      <c r="B47" s="48">
        <f>IF(B24=2,IF(B37=1,1,0),0)</f>
        <v>0</v>
      </c>
      <c r="D47" s="52">
        <f>IF(D24=2,IF(D37=1,1,0),0)</f>
        <v>0</v>
      </c>
      <c r="E47" s="48">
        <f>IF(E24=2,IF(E37=1,1,0),0)</f>
        <v>0</v>
      </c>
      <c r="G47" s="52">
        <f>IF(G24=2,IF(G37=1,1,0),0)</f>
        <v>0</v>
      </c>
      <c r="H47" s="48">
        <f>IF(H24=2,IF(H37=1,1,0),0)</f>
        <v>1</v>
      </c>
      <c r="J47" s="52">
        <f>IF(J24=2,IF(J37=1,1,0),0)</f>
        <v>0</v>
      </c>
      <c r="K47" s="48">
        <f>IF(K24=2,IF(K37=1,1,0),0)</f>
        <v>0</v>
      </c>
      <c r="M47" s="52">
        <f>IF(M24=2,IF(M37=1,1,0),0)</f>
        <v>0</v>
      </c>
      <c r="N47" s="48">
        <f>IF(N24=2,IF(N37=1,1,0),0)</f>
        <v>0</v>
      </c>
      <c r="P47" s="52">
        <f>IF(P24=2,IF(P37=1,1,0),0)</f>
        <v>0</v>
      </c>
      <c r="Q47" s="48">
        <f>IF(Q24=2,IF(Q37=1,1,0),0)</f>
        <v>0</v>
      </c>
      <c r="S47" s="52">
        <f>IF(S24=2,IF(S37=1,1,0),0)</f>
        <v>1</v>
      </c>
      <c r="T47" s="48">
        <f>IF(T24=2,IF(T37=1,1,0),0)</f>
        <v>0</v>
      </c>
      <c r="V47" s="52">
        <f>IF(V24=2,IF(V37=1,1,0),0)</f>
        <v>0</v>
      </c>
      <c r="W47" s="48">
        <f>IF(W24=2,IF(W37=1,1,0),0)</f>
        <v>0</v>
      </c>
      <c r="Y47" s="52">
        <f>IF(Y24=2,IF(Y37=1,1,0),0)</f>
        <v>0</v>
      </c>
      <c r="Z47" s="48">
        <f>IF(Z24=2,IF(Z37=1,1,0),0)</f>
        <v>0</v>
      </c>
      <c r="AB47" s="52">
        <f>IF(AB24=2,IF(AB37=1,1,0),0)</f>
        <v>0</v>
      </c>
      <c r="AC47" s="48">
        <f>IF(AC24=2,IF(AC37=1,1,0),0)</f>
        <v>0</v>
      </c>
      <c r="AE47" s="52">
        <f>IF(AE24=2,IF(AE37=1,1,0),0)</f>
        <v>0</v>
      </c>
      <c r="AF47" s="48">
        <f>SUM(B47:AE47)</f>
        <v>2</v>
      </c>
      <c r="AG47" s="48">
        <f>AF53-AF47</f>
        <v>1</v>
      </c>
    </row>
    <row r="48" spans="1:33" s="48" customFormat="1" ht="12.75" hidden="1" customHeight="1" x14ac:dyDescent="0.25">
      <c r="A48" s="48" t="s">
        <v>79</v>
      </c>
      <c r="B48" s="48">
        <f>IF(B24=3,IF(B37=1,1,0),0)</f>
        <v>0</v>
      </c>
      <c r="D48" s="52">
        <f>IF(D24=3,IF(D37=1,1,0),0)</f>
        <v>1</v>
      </c>
      <c r="E48" s="48">
        <f>IF(E24=3,IF(E37=1,1,0),0)</f>
        <v>0</v>
      </c>
      <c r="G48" s="52">
        <f>IF(G24=3,IF(G37=1,1,0),0)</f>
        <v>0</v>
      </c>
      <c r="H48" s="48">
        <f>IF(H24=3,IF(H37=1,1,0),0)</f>
        <v>0</v>
      </c>
      <c r="J48" s="52">
        <f>IF(J24=3,IF(J37=1,1,0),0)</f>
        <v>0</v>
      </c>
      <c r="K48" s="48">
        <f>IF(K24=3,IF(K37=1,1,0),0)</f>
        <v>0</v>
      </c>
      <c r="M48" s="52">
        <f>IF(M24=3,IF(M37=1,1,0),0)</f>
        <v>1</v>
      </c>
      <c r="N48" s="48">
        <f>IF(N24=3,IF(N37=1,1,0),0)</f>
        <v>0</v>
      </c>
      <c r="P48" s="52">
        <f>IF(P24=3,IF(P37=1,1,0),0)</f>
        <v>0</v>
      </c>
      <c r="Q48" s="48">
        <f>IF(Q24=3,IF(Q37=1,1,0),0)</f>
        <v>0</v>
      </c>
      <c r="S48" s="52">
        <f>IF(S24=3,IF(S37=1,1,0),0)</f>
        <v>0</v>
      </c>
      <c r="T48" s="48">
        <f>IF(T24=3,IF(T37=1,1,0),0)</f>
        <v>0</v>
      </c>
      <c r="V48" s="52">
        <f>IF(V24=3,IF(V37=1,1,0),0)</f>
        <v>0</v>
      </c>
      <c r="W48" s="48">
        <f>IF(W24=3,IF(W37=1,1,0),0)</f>
        <v>0</v>
      </c>
      <c r="Y48" s="52">
        <f>IF(Y24=3,IF(Y37=1,1,0),0)</f>
        <v>0</v>
      </c>
      <c r="Z48" s="48">
        <f>IF(Z24=3,IF(Z37=1,1,0),0)</f>
        <v>0</v>
      </c>
      <c r="AB48" s="52">
        <f>IF(AB24=3,IF(AB37=1,1,0),0)</f>
        <v>0</v>
      </c>
      <c r="AC48" s="48">
        <f>IF(AC24=3,IF(AC37=1,1,0),0)</f>
        <v>0</v>
      </c>
      <c r="AE48" s="52">
        <f>IF(AE24=3,IF(AE37=1,1,0),0)</f>
        <v>0</v>
      </c>
      <c r="AF48" s="48">
        <f>SUM(B48:AE48)</f>
        <v>2</v>
      </c>
      <c r="AG48" s="48">
        <f>AF54-AF48</f>
        <v>1</v>
      </c>
    </row>
    <row r="49" spans="1:37" s="48" customFormat="1" ht="12.75" hidden="1" customHeight="1" x14ac:dyDescent="0.25">
      <c r="A49" s="48" t="s">
        <v>80</v>
      </c>
      <c r="B49" s="48">
        <f>IF(B24=4,IF(B37=1,1,0),0)</f>
        <v>0</v>
      </c>
      <c r="D49" s="52">
        <f>IF(D24=4,IF(D37=1,1,0),0)</f>
        <v>0</v>
      </c>
      <c r="E49" s="48">
        <f>IF(E24=4,IF(E37=1,1,0),0)</f>
        <v>0</v>
      </c>
      <c r="G49" s="52">
        <f>IF(G24=4,IF(G37=1,1,0),0)</f>
        <v>0</v>
      </c>
      <c r="H49" s="48">
        <f>IF(H24=4,IF(H37=1,1,0),0)</f>
        <v>0</v>
      </c>
      <c r="J49" s="52">
        <f>IF(J24=4,IF(J37=1,1,0),0)</f>
        <v>0</v>
      </c>
      <c r="K49" s="48">
        <f>IF(K24=4,IF(K37=1,1,0),0)</f>
        <v>0</v>
      </c>
      <c r="M49" s="52">
        <f>IF(M24=4,IF(M37=1,1,0),0)</f>
        <v>0</v>
      </c>
      <c r="N49" s="48">
        <f>IF(N24=4,IF(N37=1,1,0),0)</f>
        <v>0</v>
      </c>
      <c r="P49" s="52">
        <f>IF(P24=4,IF(P37=1,1,0),0)</f>
        <v>1</v>
      </c>
      <c r="Q49" s="48">
        <f>IF(Q24=4,IF(Q37=1,1,0),0)</f>
        <v>0</v>
      </c>
      <c r="S49" s="52">
        <f>IF(S24=4,IF(S37=1,1,0),0)</f>
        <v>0</v>
      </c>
      <c r="T49" s="48">
        <f>IF(T24=4,IF(T37=1,1,0),0)</f>
        <v>0</v>
      </c>
      <c r="V49" s="52">
        <f>IF(V24=4,IF(V37=1,1,0),0)</f>
        <v>0</v>
      </c>
      <c r="W49" s="48">
        <f>IF(W24=4,IF(W37=1,1,0),0)</f>
        <v>0</v>
      </c>
      <c r="Y49" s="52">
        <f>IF(Y24=4,IF(Y37=1,1,0),0)</f>
        <v>0</v>
      </c>
      <c r="Z49" s="48">
        <f>IF(Z24=4,IF(Z37=1,1,0),0)</f>
        <v>0</v>
      </c>
      <c r="AB49" s="52">
        <f>IF(AB24=4,IF(AB37=1,1,0),0)</f>
        <v>0</v>
      </c>
      <c r="AC49" s="48">
        <f>IF(AC24=4,IF(AC37=1,1,0),0)</f>
        <v>0</v>
      </c>
      <c r="AE49" s="52">
        <f>IF(AE24=4,IF(AE37=1,1,0),0)</f>
        <v>0</v>
      </c>
      <c r="AF49" s="48">
        <f>SUM(B49:AE49)</f>
        <v>1</v>
      </c>
      <c r="AG49" s="48">
        <f>AF55-AF49</f>
        <v>2</v>
      </c>
    </row>
    <row r="50" spans="1:37" s="48" customFormat="1" ht="12.75" hidden="1" customHeight="1" x14ac:dyDescent="0.25">
      <c r="A50" s="48" t="s">
        <v>81</v>
      </c>
      <c r="B50" s="48">
        <f>IF(B24=5,IF(B37=1,1,0),0)</f>
        <v>0</v>
      </c>
      <c r="D50" s="52">
        <f>IF(D24=5,IF(D37=1,1,0),0)</f>
        <v>0</v>
      </c>
      <c r="E50" s="48">
        <f>IF(E24=5,IF(E37=1,1,0),0)</f>
        <v>0</v>
      </c>
      <c r="G50" s="52">
        <f>IF(G24=5,IF(G37=1,1,0),0)</f>
        <v>0</v>
      </c>
      <c r="H50" s="48">
        <f>IF(H24=5,IF(H37=1,1,0),0)</f>
        <v>0</v>
      </c>
      <c r="J50" s="52">
        <f>IF(J24=5,IF(J37=1,1,0),0)</f>
        <v>0</v>
      </c>
      <c r="K50" s="48">
        <f>IF(K24=5,IF(K37=1,1,0),0)</f>
        <v>0</v>
      </c>
      <c r="M50" s="52">
        <f>IF(M24=5,IF(M37=1,1,0),0)</f>
        <v>0</v>
      </c>
      <c r="N50" s="48">
        <f>IF(N24=5,IF(N37=1,1,0),0)</f>
        <v>0</v>
      </c>
      <c r="P50" s="52">
        <f>IF(P24=5,IF(P37=1,1,0),0)</f>
        <v>0</v>
      </c>
      <c r="Q50" s="48">
        <f>IF(Q24=5,IF(Q37=1,1,0),0)</f>
        <v>0</v>
      </c>
      <c r="S50" s="52">
        <f>IF(S24=5,IF(S37=1,1,0),0)</f>
        <v>0</v>
      </c>
      <c r="T50" s="48">
        <f>IF(T24=5,IF(T37=1,1,0),0)</f>
        <v>0</v>
      </c>
      <c r="V50" s="52">
        <f>IF(V24=5,IF(V37=1,1,0),0)</f>
        <v>0</v>
      </c>
      <c r="W50" s="48">
        <f>IF(W24=5,IF(W37=1,1,0),0)</f>
        <v>0</v>
      </c>
      <c r="Y50" s="52">
        <f>IF(Y24=5,IF(Y37=1,1,0),0)</f>
        <v>0</v>
      </c>
      <c r="Z50" s="48">
        <f>IF(Z24=5,IF(Z37=1,1,0),0)</f>
        <v>0</v>
      </c>
      <c r="AB50" s="52">
        <f>IF(AB24=5,IF(AB37=1,1,0),0)</f>
        <v>0</v>
      </c>
      <c r="AC50" s="48">
        <f>IF(AC24=5,IF(AC37=1,1,0),0)</f>
        <v>0</v>
      </c>
      <c r="AE50" s="52">
        <f>IF(AE24=5,IF(AE37=1,1,0),0)</f>
        <v>0</v>
      </c>
      <c r="AF50" s="48">
        <f>SUM(B50:AE50)</f>
        <v>0</v>
      </c>
      <c r="AG50" s="48">
        <f>AF56-AF50</f>
        <v>0</v>
      </c>
    </row>
    <row r="51" spans="1:37" s="48" customFormat="1" ht="38.25" hidden="1" customHeight="1" x14ac:dyDescent="0.25">
      <c r="A51" s="51"/>
      <c r="D51" s="52"/>
      <c r="G51" s="52"/>
      <c r="J51" s="52"/>
      <c r="M51" s="52"/>
      <c r="P51" s="52"/>
      <c r="S51" s="52"/>
      <c r="V51" s="52"/>
      <c r="Y51" s="52"/>
      <c r="AB51" s="52"/>
      <c r="AE51" s="52"/>
      <c r="AF51" s="51" t="s">
        <v>82</v>
      </c>
    </row>
    <row r="52" spans="1:37" s="48" customFormat="1" ht="12.75" hidden="1" customHeight="1" x14ac:dyDescent="0.25">
      <c r="A52" s="48" t="s">
        <v>83</v>
      </c>
      <c r="B52" s="48">
        <f>IF(B24=1,IF(C37=1,1,0),0)</f>
        <v>0</v>
      </c>
      <c r="D52" s="52">
        <f>IF(D24=1,IF(C37=1,1,0),0)</f>
        <v>0</v>
      </c>
      <c r="E52" s="48">
        <f>IF(E24=1,IF(F37=1,1,0),0)</f>
        <v>1</v>
      </c>
      <c r="G52" s="52">
        <f>IF(G24=1,IF(F37=1,1,0),0)</f>
        <v>0</v>
      </c>
      <c r="H52" s="48">
        <f>IF(H24=1,IF(I37=1,1,0),0)</f>
        <v>0</v>
      </c>
      <c r="J52" s="52">
        <f>IF(J24=1,IF(I37=1,1,0),0)</f>
        <v>0</v>
      </c>
      <c r="K52" s="48">
        <f>IF(K24=1,IF(L37=1,1,0),0)</f>
        <v>1</v>
      </c>
      <c r="M52" s="52">
        <f>IF(M24=1,IF(L37=1,1,0),0)</f>
        <v>0</v>
      </c>
      <c r="N52" s="48">
        <f>IF(N24=1,IF(O37=1,1,0),0)</f>
        <v>0</v>
      </c>
      <c r="P52" s="52">
        <f>IF(P24=1,IF(O37=1,1,0),0)</f>
        <v>0</v>
      </c>
      <c r="Q52" s="48">
        <f>IF(Q24=1,IF(R37=1,1,0),0)</f>
        <v>1</v>
      </c>
      <c r="S52" s="52">
        <f>IF(S24=1,IF(R37=1,1,0),0)</f>
        <v>0</v>
      </c>
      <c r="T52" s="48">
        <f>IF(T24=1,IF(U37=1,1,0),0)</f>
        <v>0</v>
      </c>
      <c r="V52" s="52">
        <f>IF(V24=1,IF(U37=1,1,0),0)</f>
        <v>0</v>
      </c>
      <c r="W52" s="48">
        <f>IF(W24=1,IF(X37=1,1,0),0)</f>
        <v>0</v>
      </c>
      <c r="Y52" s="52">
        <f>IF(Y24=1,IF(X37=1,1,0),0)</f>
        <v>0</v>
      </c>
      <c r="Z52" s="48">
        <f>IF(Z24=1,IF(AA37=1,1,0),0)</f>
        <v>0</v>
      </c>
      <c r="AB52" s="52">
        <f>IF(AB24=1,IF(AA37=1,1,0),0)</f>
        <v>0</v>
      </c>
      <c r="AC52" s="48">
        <f>IF(AC24=1,IF(AD37=1,1,0),0)</f>
        <v>0</v>
      </c>
      <c r="AE52" s="52">
        <f>IF(AE24=1,IF(AD37=1,1,0),0)</f>
        <v>0</v>
      </c>
      <c r="AF52" s="48">
        <f>SUM(B52:AE52)</f>
        <v>3</v>
      </c>
    </row>
    <row r="53" spans="1:37" s="48" customFormat="1" ht="12.75" hidden="1" customHeight="1" x14ac:dyDescent="0.25">
      <c r="A53" s="48" t="s">
        <v>84</v>
      </c>
      <c r="B53" s="48">
        <f>IF(B24=2,IF(C37=1,1,0),0)</f>
        <v>1</v>
      </c>
      <c r="D53" s="52">
        <f>IF(D24=2,IF(C37=1,1,0),0)</f>
        <v>0</v>
      </c>
      <c r="E53" s="48">
        <f>IF(E24=2,IF(F37=1,1,0),0)</f>
        <v>0</v>
      </c>
      <c r="G53" s="52">
        <f>IF(G24=2,IF(F37=1,1,0),0)</f>
        <v>0</v>
      </c>
      <c r="H53" s="48">
        <f>IF(H24=2,IF(I37=1,1,0),0)</f>
        <v>1</v>
      </c>
      <c r="J53" s="52">
        <f>IF(J24=2,IF(I37=1,1,0),0)</f>
        <v>0</v>
      </c>
      <c r="K53" s="48">
        <f>IF(K24=2,IF(L37=1,1,0),0)</f>
        <v>0</v>
      </c>
      <c r="M53" s="52">
        <f>IF(M24=2,IF(L37=1,1,0),0)</f>
        <v>0</v>
      </c>
      <c r="N53" s="48">
        <f>IF(N24=2,IF(O37=1,1,0),0)</f>
        <v>0</v>
      </c>
      <c r="P53" s="52">
        <f>IF(P24=2,IF(O37=1,1,0),0)</f>
        <v>0</v>
      </c>
      <c r="Q53" s="48">
        <f>IF(Q24=2,IF(R37=1,1,0),0)</f>
        <v>0</v>
      </c>
      <c r="S53" s="52">
        <f>IF(S24=2,IF(R37=1,1,0),0)</f>
        <v>1</v>
      </c>
      <c r="T53" s="48">
        <f>IF(T24=2,IF(U37=1,1,0),0)</f>
        <v>0</v>
      </c>
      <c r="V53" s="52">
        <f>IF(V24=2,IF(U37=1,1,0),0)</f>
        <v>0</v>
      </c>
      <c r="W53" s="48">
        <f>IF(W24=2,IF(X37=1,1,0),0)</f>
        <v>0</v>
      </c>
      <c r="Y53" s="52">
        <f>IF(Y24=2,IF(X37=1,1,0),0)</f>
        <v>0</v>
      </c>
      <c r="Z53" s="48">
        <f>IF(Z24=2,IF(AA37=1,1,0),0)</f>
        <v>0</v>
      </c>
      <c r="AB53" s="52">
        <f>IF(AB24=2,IF(AA37=1,1,0),0)</f>
        <v>0</v>
      </c>
      <c r="AC53" s="48">
        <f>IF(AC24=2,IF(AD37=1,1,0),0)</f>
        <v>0</v>
      </c>
      <c r="AE53" s="52">
        <f>IF(AE24=2,IF(AD37=1,1,0),0)</f>
        <v>0</v>
      </c>
      <c r="AF53" s="48">
        <f>SUM(B53:AE53)</f>
        <v>3</v>
      </c>
    </row>
    <row r="54" spans="1:37" s="48" customFormat="1" ht="12.75" hidden="1" customHeight="1" x14ac:dyDescent="0.25">
      <c r="A54" s="48" t="s">
        <v>85</v>
      </c>
      <c r="B54" s="48">
        <f>IF(B24=3,IF(C37=1,1,0),0)</f>
        <v>0</v>
      </c>
      <c r="D54" s="52">
        <f>IF(D24=3,IF(C37=1,1,0),0)</f>
        <v>1</v>
      </c>
      <c r="E54" s="48">
        <f>IF(E24=3,IF(F37=1,1,0),0)</f>
        <v>0</v>
      </c>
      <c r="G54" s="52">
        <f>IF(G24=3,IF(F37=1,1,0),0)</f>
        <v>0</v>
      </c>
      <c r="H54" s="48">
        <f>IF(H24=3,IF(I37=1,1,0),0)</f>
        <v>0</v>
      </c>
      <c r="J54" s="52">
        <f>IF(J24=3,IF(I37=1,1,0),0)</f>
        <v>0</v>
      </c>
      <c r="K54" s="48">
        <f>IF(K24=3,IF(L37=1,1,0),0)</f>
        <v>0</v>
      </c>
      <c r="M54" s="52">
        <f>IF(M24=3,IF(L37=1,1,0),0)</f>
        <v>1</v>
      </c>
      <c r="N54" s="48">
        <f>IF(N24=3,IF(O37=1,1,0),0)</f>
        <v>1</v>
      </c>
      <c r="P54" s="52">
        <f>IF(P24=3,IF(O37=1,1,0),0)</f>
        <v>0</v>
      </c>
      <c r="Q54" s="48">
        <f>IF(Q24=3,IF(R37=1,1,0),0)</f>
        <v>0</v>
      </c>
      <c r="S54" s="52">
        <f>IF(S24=3,IF(R37=1,1,0),0)</f>
        <v>0</v>
      </c>
      <c r="T54" s="48">
        <f>IF(T24=3,IF(U37=1,1,0),0)</f>
        <v>0</v>
      </c>
      <c r="V54" s="52">
        <f>IF(V24=3,IF(U37=1,1,0),0)</f>
        <v>0</v>
      </c>
      <c r="W54" s="48">
        <f>IF(W24=3,IF(X37=1,1,0),0)</f>
        <v>0</v>
      </c>
      <c r="Y54" s="52">
        <f>IF(Y24=3,IF(X37=1,1,0),0)</f>
        <v>0</v>
      </c>
      <c r="Z54" s="48">
        <f>IF(Z24=3,IF(AA37=1,1,0),0)</f>
        <v>0</v>
      </c>
      <c r="AB54" s="52">
        <f>IF(AB24=3,IF(AA37=1,1,0),0)</f>
        <v>0</v>
      </c>
      <c r="AC54" s="48">
        <f>IF(AC24=3,IF(AD37=1,1,0),0)</f>
        <v>0</v>
      </c>
      <c r="AE54" s="52">
        <f>IF(AE24=3,IF(AD37=1,1,0),0)</f>
        <v>0</v>
      </c>
      <c r="AF54" s="48">
        <f>SUM(B54:AE54)</f>
        <v>3</v>
      </c>
    </row>
    <row r="55" spans="1:37" s="48" customFormat="1" ht="12.75" hidden="1" customHeight="1" x14ac:dyDescent="0.25">
      <c r="A55" s="48" t="s">
        <v>86</v>
      </c>
      <c r="B55" s="48">
        <f>IF(B24=4,IF(C37=1,1,0),0)</f>
        <v>0</v>
      </c>
      <c r="D55" s="52">
        <f>IF(D24=4,IF(C37=1,1,0),0)</f>
        <v>0</v>
      </c>
      <c r="E55" s="48">
        <f>IF(E24=4,IF(F37=1,1,0),0)</f>
        <v>0</v>
      </c>
      <c r="G55" s="52">
        <f>IF(G24=4,IF(F37=1,1,0),0)</f>
        <v>1</v>
      </c>
      <c r="H55" s="48">
        <f>IF(H24=4,IF(I37=1,1,0),0)</f>
        <v>0</v>
      </c>
      <c r="J55" s="52">
        <f>IF(J24=4,IF(I37=1,1,0),0)</f>
        <v>1</v>
      </c>
      <c r="K55" s="48">
        <f>IF(K24=4,IF(L37=1,1,0),0)</f>
        <v>0</v>
      </c>
      <c r="M55" s="52">
        <f>IF(M24=4,IF(L37=1,1,0),0)</f>
        <v>0</v>
      </c>
      <c r="N55" s="48">
        <f>IF(N24=4,IF(O37=1,1,0),0)</f>
        <v>0</v>
      </c>
      <c r="P55" s="52">
        <f>IF(P24=4,IF(O37=1,1,0),0)</f>
        <v>1</v>
      </c>
      <c r="Q55" s="48">
        <f>IF(Q24=4,IF(R37=1,1,0),0)</f>
        <v>0</v>
      </c>
      <c r="S55" s="52">
        <f>IF(S24=4,IF(R37=1,1,0),0)</f>
        <v>0</v>
      </c>
      <c r="T55" s="48">
        <f>IF(T24=4,IF(U37=1,1,0),0)</f>
        <v>0</v>
      </c>
      <c r="V55" s="52">
        <f>IF(V24=4,IF(U37=1,1,0),0)</f>
        <v>0</v>
      </c>
      <c r="W55" s="48">
        <f>IF(W24=4,IF(X37=1,1,0),0)</f>
        <v>0</v>
      </c>
      <c r="Y55" s="52">
        <f>IF(Y24=4,IF(X37=1,1,0),0)</f>
        <v>0</v>
      </c>
      <c r="Z55" s="48">
        <f>IF(Z24=4,IF(AA37=1,1,0),0)</f>
        <v>0</v>
      </c>
      <c r="AB55" s="52">
        <f>IF(AB24=4,IF(AA37=1,1,0),0)</f>
        <v>0</v>
      </c>
      <c r="AC55" s="48">
        <f>IF(AC24=4,IF(AD37=1,1,0),0)</f>
        <v>0</v>
      </c>
      <c r="AE55" s="52">
        <f>IF(AE24=4,IF(AD37=1,1,0),0)</f>
        <v>0</v>
      </c>
      <c r="AF55" s="48">
        <f>SUM(B55:AE55)</f>
        <v>3</v>
      </c>
    </row>
    <row r="56" spans="1:37" s="48" customFormat="1" ht="12.75" hidden="1" customHeight="1" x14ac:dyDescent="0.25">
      <c r="A56" s="48" t="s">
        <v>87</v>
      </c>
      <c r="B56" s="48">
        <f>IF(B24=5,IF(C37=1,1,0),0)</f>
        <v>0</v>
      </c>
      <c r="D56" s="52">
        <f>IF(D24=5,IF(C37=1,1,0),0)</f>
        <v>0</v>
      </c>
      <c r="E56" s="48">
        <f>IF(E24=5,IF(F37=1,1,0),0)</f>
        <v>0</v>
      </c>
      <c r="G56" s="52">
        <f>IF(G24=5,IF(F37=1,1,0),0)</f>
        <v>0</v>
      </c>
      <c r="H56" s="48">
        <f>IF(H24=5,IF(I37=1,1,0),0)</f>
        <v>0</v>
      </c>
      <c r="J56" s="52">
        <f>IF(J24=5,IF(I37=1,1,0),0)</f>
        <v>0</v>
      </c>
      <c r="K56" s="48">
        <f>IF(K24=5,IF(L37=1,1,0),0)</f>
        <v>0</v>
      </c>
      <c r="M56" s="52">
        <f>IF(M24=5,IF(L37=1,1,0),0)</f>
        <v>0</v>
      </c>
      <c r="N56" s="48">
        <f>IF(N24=5,IF(O37=1,1,0),0)</f>
        <v>0</v>
      </c>
      <c r="P56" s="52">
        <f>IF(P24=5,IF(O37=1,1,0),0)</f>
        <v>0</v>
      </c>
      <c r="Q56" s="48">
        <f>IF(Q24=5,IF(R37=1,1,0),0)</f>
        <v>0</v>
      </c>
      <c r="S56" s="52">
        <f>IF(S24=5,IF(R37=1,1,0),0)</f>
        <v>0</v>
      </c>
      <c r="T56" s="48">
        <f>IF(T24=5,IF(U37=1,1,0),0)</f>
        <v>0</v>
      </c>
      <c r="V56" s="52">
        <f>IF(V24=5,IF(U37=1,1,0),0)</f>
        <v>0</v>
      </c>
      <c r="W56" s="48">
        <f>IF(W24=5,IF(X37=1,1,0),0)</f>
        <v>0</v>
      </c>
      <c r="Y56" s="52">
        <f>IF(Y24=5,IF(X37=1,1,0),0)</f>
        <v>0</v>
      </c>
      <c r="Z56" s="48">
        <f>IF(Z24=5,IF(AA37=1,1,0),0)</f>
        <v>0</v>
      </c>
      <c r="AB56" s="52">
        <f>IF(AB24=5,IF(AA37=1,1,0),0)</f>
        <v>0</v>
      </c>
      <c r="AC56" s="48">
        <f>IF(AC24=5,IF(AD37=1,1,0),0)</f>
        <v>0</v>
      </c>
      <c r="AE56" s="52">
        <f>IF(AE24=5,IF(AD37=1,1,0),0)</f>
        <v>0</v>
      </c>
      <c r="AF56" s="48">
        <f>SUM(B56:AE56)</f>
        <v>0</v>
      </c>
    </row>
    <row r="57" spans="1:37" s="48" customFormat="1" ht="38.25" hidden="1" customHeight="1" x14ac:dyDescent="0.25">
      <c r="A57" s="51"/>
      <c r="D57" s="52"/>
      <c r="G57" s="52"/>
      <c r="J57" s="52"/>
      <c r="M57" s="52"/>
      <c r="P57" s="52"/>
      <c r="S57" s="52"/>
      <c r="V57" s="52"/>
      <c r="Y57" s="52"/>
      <c r="AB57" s="52"/>
      <c r="AE57" s="52"/>
      <c r="AF57" s="51" t="s">
        <v>88</v>
      </c>
      <c r="AG57" s="150"/>
      <c r="AH57" s="150"/>
      <c r="AI57" s="150"/>
      <c r="AJ57" s="150"/>
      <c r="AK57" s="150"/>
    </row>
    <row r="58" spans="1:37" s="48" customFormat="1" ht="12.75" hidden="1" customHeight="1" x14ac:dyDescent="0.25">
      <c r="A58" s="48" t="s">
        <v>83</v>
      </c>
      <c r="B58" s="48">
        <f>IF(B24=1,B44,0)</f>
        <v>0</v>
      </c>
      <c r="D58" s="52">
        <f>IF(D24=1,B44,0)</f>
        <v>0</v>
      </c>
      <c r="E58" s="48">
        <f>IF(E24=1,E44,0)</f>
        <v>18</v>
      </c>
      <c r="G58" s="52">
        <f>IF(G24=1,E44,0)</f>
        <v>0</v>
      </c>
      <c r="H58" s="48">
        <f>IF(H24=1,H44,0)</f>
        <v>0</v>
      </c>
      <c r="J58" s="52">
        <f>IF(J24=1,H44,0)</f>
        <v>0</v>
      </c>
      <c r="K58" s="48">
        <f>IF(K24=1,K44,0)</f>
        <v>20</v>
      </c>
      <c r="M58" s="52">
        <f>IF(M24=1,K44,0)</f>
        <v>0</v>
      </c>
      <c r="N58" s="48">
        <f>IF(N24=1,N44,0)</f>
        <v>0</v>
      </c>
      <c r="P58" s="52">
        <f>IF(P24=1,N44,0)</f>
        <v>0</v>
      </c>
      <c r="Q58" s="48">
        <f>IF(Q24=1,Q44,0)</f>
        <v>20</v>
      </c>
      <c r="S58" s="52">
        <f>IF(S24=1,Q44,0)</f>
        <v>0</v>
      </c>
      <c r="T58" s="48">
        <f>IF(T24=1,T44,0)</f>
        <v>0</v>
      </c>
      <c r="V58" s="52">
        <f>IF(V24=1,T44,0)</f>
        <v>0</v>
      </c>
      <c r="W58" s="48">
        <f>IF(W24=1,W44,0)</f>
        <v>0</v>
      </c>
      <c r="Y58" s="52">
        <f>IF(Y24=1,W44,0)</f>
        <v>0</v>
      </c>
      <c r="Z58" s="48">
        <f>IF(Z24=1,Z44,0)</f>
        <v>0</v>
      </c>
      <c r="AB58" s="52">
        <f>IF(AB24=1,Z44,0)</f>
        <v>0</v>
      </c>
      <c r="AC58" s="48">
        <f>IF(AC24=1,AC44,0)</f>
        <v>0</v>
      </c>
      <c r="AE58" s="52">
        <f>IF(AE24=1,AC44,0)</f>
        <v>0</v>
      </c>
      <c r="AF58" s="48">
        <f>SUM(B58:AE58)</f>
        <v>58</v>
      </c>
    </row>
    <row r="59" spans="1:37" s="48" customFormat="1" ht="12.75" hidden="1" customHeight="1" x14ac:dyDescent="0.25">
      <c r="A59" s="48" t="s">
        <v>84</v>
      </c>
      <c r="B59" s="48">
        <f>IF(B24=2,B44,0)</f>
        <v>20</v>
      </c>
      <c r="D59" s="52">
        <f>IF(D24=2,B44,0)</f>
        <v>0</v>
      </c>
      <c r="E59" s="48">
        <f>IF(E24=2,E44,0)</f>
        <v>0</v>
      </c>
      <c r="G59" s="52">
        <f>IF(G24=2,E44,0)</f>
        <v>0</v>
      </c>
      <c r="H59" s="48">
        <f>IF(H24=2,H44,0)</f>
        <v>23</v>
      </c>
      <c r="J59" s="52">
        <f>IF(J24=2,H44,0)</f>
        <v>0</v>
      </c>
      <c r="K59" s="48">
        <f>IF(K24=2,K44,0)</f>
        <v>0</v>
      </c>
      <c r="M59" s="52">
        <f>IF(M24=2,K44,0)</f>
        <v>0</v>
      </c>
      <c r="N59" s="48">
        <f>IF(N24=2,N44,0)</f>
        <v>0</v>
      </c>
      <c r="P59" s="52">
        <f>IF(P24=2,N44,0)</f>
        <v>0</v>
      </c>
      <c r="Q59" s="48">
        <f>IF(Q24=2,Q44,0)</f>
        <v>0</v>
      </c>
      <c r="S59" s="52">
        <f>IF(S24=2,Q44,0)</f>
        <v>20</v>
      </c>
      <c r="T59" s="48">
        <f>IF(T24=2,T44,0)</f>
        <v>0</v>
      </c>
      <c r="V59" s="52">
        <f>IF(V24=2,T44,0)</f>
        <v>0</v>
      </c>
      <c r="W59" s="48">
        <f>IF(W24=2,W44,0)</f>
        <v>0</v>
      </c>
      <c r="Y59" s="52">
        <f>IF(Y24=2,W44,0)</f>
        <v>0</v>
      </c>
      <c r="Z59" s="48">
        <f>IF(Z24=2,Z44,0)</f>
        <v>0</v>
      </c>
      <c r="AB59" s="52">
        <f>IF(AB24=2,Z44,0)</f>
        <v>0</v>
      </c>
      <c r="AC59" s="48">
        <f>IF(AC24=2,AC44,0)</f>
        <v>0</v>
      </c>
      <c r="AE59" s="52">
        <f>IF(AE24=2,AC44,0)</f>
        <v>0</v>
      </c>
      <c r="AF59" s="48">
        <f>SUM(B59:AE59)</f>
        <v>63</v>
      </c>
    </row>
    <row r="60" spans="1:37" s="48" customFormat="1" ht="12.75" hidden="1" customHeight="1" x14ac:dyDescent="0.25">
      <c r="A60" s="48" t="s">
        <v>85</v>
      </c>
      <c r="B60" s="48">
        <f>IF(B24=3,B44,0)</f>
        <v>0</v>
      </c>
      <c r="D60" s="52">
        <f>IF(D24=3,B44,0)</f>
        <v>20</v>
      </c>
      <c r="E60" s="48">
        <f>IF(E24=3,E44,0)</f>
        <v>0</v>
      </c>
      <c r="G60" s="52">
        <f>IF(G24=3,E44,0)</f>
        <v>0</v>
      </c>
      <c r="H60" s="48">
        <f>IF(H24=3,H44,0)</f>
        <v>0</v>
      </c>
      <c r="J60" s="52">
        <f>IF(J24=3,H44,0)</f>
        <v>0</v>
      </c>
      <c r="K60" s="48">
        <f>IF(K24=3,K44,0)</f>
        <v>0</v>
      </c>
      <c r="M60" s="52">
        <f>IF(M24=3,K44,0)</f>
        <v>20</v>
      </c>
      <c r="N60" s="48">
        <f>IF(N24=3,N44,0)</f>
        <v>18</v>
      </c>
      <c r="P60" s="52">
        <f>IF(P24=3,N44,0)</f>
        <v>0</v>
      </c>
      <c r="Q60" s="48">
        <f>IF(Q24=3,Q44,0)</f>
        <v>0</v>
      </c>
      <c r="S60" s="52">
        <f>IF(S24=3,Q44,0)</f>
        <v>0</v>
      </c>
      <c r="T60" s="48">
        <f>IF(T24=3,T44,0)</f>
        <v>0</v>
      </c>
      <c r="V60" s="52">
        <f>IF(V24=3,T44,0)</f>
        <v>0</v>
      </c>
      <c r="W60" s="48">
        <f>IF(W24=3,W44,0)</f>
        <v>0</v>
      </c>
      <c r="Y60" s="52">
        <f>IF(Y24=3,W44,0)</f>
        <v>0</v>
      </c>
      <c r="Z60" s="48">
        <f>IF(Z24=3,Z44,0)</f>
        <v>0</v>
      </c>
      <c r="AB60" s="52">
        <f>IF(AB24=3,Z44,0)</f>
        <v>0</v>
      </c>
      <c r="AC60" s="48">
        <f>IF(AC24=3,AC44,0)</f>
        <v>0</v>
      </c>
      <c r="AE60" s="52">
        <f>IF(AE24=3,AC44,0)</f>
        <v>0</v>
      </c>
      <c r="AF60" s="48">
        <f>SUM(B60:AE60)</f>
        <v>58</v>
      </c>
    </row>
    <row r="61" spans="1:37" s="48" customFormat="1" ht="12.75" hidden="1" customHeight="1" x14ac:dyDescent="0.25">
      <c r="A61" s="48" t="s">
        <v>86</v>
      </c>
      <c r="B61" s="48">
        <f>IF(B24=4,B44,0)</f>
        <v>0</v>
      </c>
      <c r="D61" s="52">
        <f>IF(D24=4,B44,0)</f>
        <v>0</v>
      </c>
      <c r="E61" s="48">
        <f>IF(E24=4,E44,0)</f>
        <v>0</v>
      </c>
      <c r="G61" s="52">
        <f>IF(G24=4,E44,0)</f>
        <v>18</v>
      </c>
      <c r="H61" s="48">
        <f>IF(H24=4,H44,0)</f>
        <v>0</v>
      </c>
      <c r="J61" s="52">
        <f>IF(J24=4,H44,0)</f>
        <v>23</v>
      </c>
      <c r="K61" s="48">
        <f>IF(K24=4,K44,0)</f>
        <v>0</v>
      </c>
      <c r="M61" s="52">
        <f>IF(M24=4,K44,0)</f>
        <v>0</v>
      </c>
      <c r="N61" s="48">
        <f>IF(N24=4,N44,0)</f>
        <v>0</v>
      </c>
      <c r="P61" s="52">
        <f>IF(P24=4,N44,0)</f>
        <v>18</v>
      </c>
      <c r="Q61" s="48">
        <f>IF(Q24=4,Q44,0)</f>
        <v>0</v>
      </c>
      <c r="S61" s="52">
        <f>IF(S24=4,Q44,0)</f>
        <v>0</v>
      </c>
      <c r="T61" s="48">
        <f>IF(T24=4,T44,0)</f>
        <v>0</v>
      </c>
      <c r="V61" s="52">
        <f>IF(V24=4,T44,0)</f>
        <v>0</v>
      </c>
      <c r="W61" s="48">
        <f>IF(W24=4,W44,0)</f>
        <v>0</v>
      </c>
      <c r="Y61" s="52">
        <f>IF(Y24=4,W44,0)</f>
        <v>0</v>
      </c>
      <c r="Z61" s="48">
        <f>IF(Z24=4,Z44,0)</f>
        <v>0</v>
      </c>
      <c r="AB61" s="52">
        <f>IF(AB24=4,Z44,0)</f>
        <v>0</v>
      </c>
      <c r="AC61" s="48">
        <f>IF(AC24=4,AC44,0)</f>
        <v>0</v>
      </c>
      <c r="AE61" s="52">
        <f>IF(AE24=4,AC44,0)</f>
        <v>0</v>
      </c>
      <c r="AF61" s="48">
        <f>SUM(B61:AE61)</f>
        <v>59</v>
      </c>
    </row>
    <row r="62" spans="1:37" s="48" customFormat="1" ht="12.75" hidden="1" customHeight="1" x14ac:dyDescent="0.25">
      <c r="A62" s="48" t="s">
        <v>87</v>
      </c>
      <c r="B62" s="48">
        <f>IF(B24=5,B44,0)</f>
        <v>0</v>
      </c>
      <c r="D62" s="52">
        <f>IF(D24=5,B44,0)</f>
        <v>0</v>
      </c>
      <c r="E62" s="48">
        <f>IF(E24=5,E44,0)</f>
        <v>0</v>
      </c>
      <c r="G62" s="52">
        <f>IF(G24=5,E44,0)</f>
        <v>0</v>
      </c>
      <c r="H62" s="48">
        <f>IF(H24=5,H44,0)</f>
        <v>0</v>
      </c>
      <c r="J62" s="52">
        <f>IF(J24=5,H44,0)</f>
        <v>0</v>
      </c>
      <c r="K62" s="48">
        <f>IF(K24=5,K44,0)</f>
        <v>0</v>
      </c>
      <c r="M62" s="52">
        <f>IF(M24=5,K44,0)</f>
        <v>0</v>
      </c>
      <c r="N62" s="48">
        <f>IF(N24=5,N44,0)</f>
        <v>0</v>
      </c>
      <c r="P62" s="52">
        <f>IF(P24=5,N44,0)</f>
        <v>0</v>
      </c>
      <c r="Q62" s="48">
        <f>IF(Q24=5,Q44,0)</f>
        <v>0</v>
      </c>
      <c r="S62" s="52">
        <f>IF(S24=5,Q44,0)</f>
        <v>0</v>
      </c>
      <c r="T62" s="48">
        <f>IF(T24=5,T44,0)</f>
        <v>0</v>
      </c>
      <c r="V62" s="52">
        <f>IF(V24=5,T44,0)</f>
        <v>0</v>
      </c>
      <c r="W62" s="48">
        <f>IF(W24=5,W44,0)</f>
        <v>0</v>
      </c>
      <c r="Y62" s="52">
        <f>IF(Y24=5,W44,0)</f>
        <v>0</v>
      </c>
      <c r="Z62" s="48">
        <f>IF(Z24=5,Z44,0)</f>
        <v>0</v>
      </c>
      <c r="AB62" s="52">
        <f>IF(AB24=5,Z44,0)</f>
        <v>0</v>
      </c>
      <c r="AC62" s="48">
        <f>IF(AC24=5,AC44,0)</f>
        <v>0</v>
      </c>
      <c r="AE62" s="52">
        <f>IF(AE24=5,AC44,0)</f>
        <v>0</v>
      </c>
      <c r="AF62" s="48">
        <f>SUM(B62:AE62)</f>
        <v>0</v>
      </c>
    </row>
    <row r="63" spans="1:37" s="48" customFormat="1" ht="38.25" hidden="1" customHeight="1" x14ac:dyDescent="0.25">
      <c r="A63" s="48" t="s">
        <v>89</v>
      </c>
      <c r="D63" s="52"/>
      <c r="G63" s="52"/>
      <c r="J63" s="52"/>
      <c r="M63" s="52"/>
      <c r="P63" s="52"/>
      <c r="S63" s="52"/>
      <c r="V63" s="52"/>
      <c r="Y63" s="52"/>
      <c r="AB63" s="52"/>
      <c r="AE63" s="52"/>
      <c r="AF63" s="51" t="s">
        <v>90</v>
      </c>
      <c r="AG63" s="48" t="s">
        <v>91</v>
      </c>
    </row>
    <row r="64" spans="1:37" s="48" customFormat="1" ht="12.75" hidden="1" customHeight="1" x14ac:dyDescent="0.25">
      <c r="A64" s="48" t="s">
        <v>77</v>
      </c>
      <c r="B64" s="48">
        <f>IF(B24=1,SUMIF(B31:B35,"&gt;0"),0)</f>
        <v>0</v>
      </c>
      <c r="D64" s="52">
        <f>IF(D24=1,SUMIF(D31:D35,"&gt;0"),0)</f>
        <v>0</v>
      </c>
      <c r="E64" s="48">
        <f>IF(E24=1,SUMIF(E31:E35,"&gt;0"),0)</f>
        <v>1</v>
      </c>
      <c r="G64" s="52">
        <f>IF(G24=1,SUMIF(G31:G35,"&gt;0"),0)</f>
        <v>0</v>
      </c>
      <c r="H64" s="48">
        <f>IF(H24=1,SUMIF(H31:H35,"&gt;0"),0)</f>
        <v>0</v>
      </c>
      <c r="J64" s="52">
        <f>IF(J24=1,SUMIF(J31:J35,"&gt;0"),0)</f>
        <v>0</v>
      </c>
      <c r="K64" s="48">
        <f>IF(K24=1,SUMIF(K31:K35,"&gt;0"),0)</f>
        <v>0</v>
      </c>
      <c r="M64" s="52">
        <f>IF(M24=1,SUMIF(M31:M35,"&gt;0"),0)</f>
        <v>0</v>
      </c>
      <c r="N64" s="48">
        <f>IF(N24=1,SUMIF(N31:N35,"&gt;0"),0)</f>
        <v>0</v>
      </c>
      <c r="P64" s="52">
        <f>IF(P24=1,SUMIF(P31:P35,"&gt;0"),0)</f>
        <v>0</v>
      </c>
      <c r="Q64" s="48">
        <f>IF(Q24=1,SUMIF(Q31:Q35,"&gt;0"),0)</f>
        <v>0</v>
      </c>
      <c r="S64" s="52">
        <f>IF(S24=1,SUMIF(S31:S35,"&gt;0"),0)</f>
        <v>0</v>
      </c>
      <c r="T64" s="48">
        <f>IF(T24=1,SUMIF(T31:T35,"&gt;0"),0)</f>
        <v>0</v>
      </c>
      <c r="V64" s="52">
        <f>IF(V24=1,SUMIF(V31:V35,"&gt;0"),0)</f>
        <v>0</v>
      </c>
      <c r="W64" s="48">
        <f>IF(W24=1,SUMIF(W31:W35,"&gt;0"),0)</f>
        <v>0</v>
      </c>
      <c r="Y64" s="52">
        <f>IF(Y24=1,SUMIF(Y31:Y35,"&gt;0"),0)</f>
        <v>0</v>
      </c>
      <c r="Z64" s="48">
        <f>IF(Z24=1,SUMIF(Z31:Z35,"&gt;0"),0)</f>
        <v>0</v>
      </c>
      <c r="AB64" s="52">
        <f>IF(AB24=1,SUMIF(AB31:AB35,"&gt;0"),0)</f>
        <v>0</v>
      </c>
      <c r="AC64" s="48">
        <f>IF(AC24=1,SUMIF(AC31:AC35,"&gt;0"),0)</f>
        <v>0</v>
      </c>
      <c r="AE64" s="52">
        <f>IF(AE24=1,SUMIF(AE31:AE35,"&gt;0"),0)</f>
        <v>0</v>
      </c>
      <c r="AF64" s="48">
        <f>SUM(B64:AE64)</f>
        <v>1</v>
      </c>
      <c r="AG64" s="48">
        <f>AF72-AF64</f>
        <v>2</v>
      </c>
    </row>
    <row r="65" spans="1:49" s="48" customFormat="1" ht="12.75" hidden="1" customHeight="1" x14ac:dyDescent="0.25">
      <c r="A65" s="48" t="s">
        <v>78</v>
      </c>
      <c r="B65" s="48">
        <f>IF(B24=2,SUMIF(B31:B35,"&gt;0"),0)</f>
        <v>0</v>
      </c>
      <c r="D65" s="52">
        <f>IF(D24=2,SUMIF(D31:D35,"&gt;0"),0)</f>
        <v>0</v>
      </c>
      <c r="E65" s="48">
        <f>IF(E24=2,SUMIF(E31:E35,"&gt;0"),0)</f>
        <v>0</v>
      </c>
      <c r="G65" s="52">
        <f>IF(G24=2,SUMIF(G31:G35,"&gt;0"),0)</f>
        <v>0</v>
      </c>
      <c r="H65" s="48">
        <f>IF(H24=2,SUMIF(H31:H35,"&gt;0"),0)</f>
        <v>1</v>
      </c>
      <c r="J65" s="52">
        <f>IF(J24=2,SUMIF(J31:J35,"&gt;0"),0)</f>
        <v>0</v>
      </c>
      <c r="K65" s="48">
        <f>IF(K24=2,SUMIF(K31:K35,"&gt;0"),0)</f>
        <v>0</v>
      </c>
      <c r="M65" s="52">
        <f>IF(M24=2,SUMIF(M31:M35,"&gt;0"),0)</f>
        <v>0</v>
      </c>
      <c r="N65" s="48">
        <f>IF(N24=2,SUMIF(N31:N35,"&gt;0"),0)</f>
        <v>0</v>
      </c>
      <c r="P65" s="52">
        <f>IF(P24=2,SUMIF(P31:P35,"&gt;0"),0)</f>
        <v>0</v>
      </c>
      <c r="Q65" s="48">
        <f>IF(Q24=2,SUMIF(Q31:Q35,"&gt;0"),0)</f>
        <v>0</v>
      </c>
      <c r="S65" s="52">
        <f>IF(S24=2,SUMIF(S31:S35,"&gt;0"),0)</f>
        <v>1</v>
      </c>
      <c r="T65" s="48">
        <f>IF(T24=2,SUMIF(T31:T35,"&gt;0"),0)</f>
        <v>0</v>
      </c>
      <c r="V65" s="52">
        <f>IF(V24=2,SUMIF(V31:V35,"&gt;0"),0)</f>
        <v>0</v>
      </c>
      <c r="W65" s="48">
        <f>IF(W24=2,SUMIF(W31:W35,"&gt;0"),0)</f>
        <v>0</v>
      </c>
      <c r="Y65" s="52">
        <f>IF(Y24=2,SUMIF(Y31:Y35,"&gt;0"),0)</f>
        <v>0</v>
      </c>
      <c r="Z65" s="48">
        <f>IF(Z24=2,SUMIF(Z31:Z35,"&gt;0"),0)</f>
        <v>0</v>
      </c>
      <c r="AB65" s="52">
        <f>IF(AB24=2,SUMIF(AB31:AB35,"&gt;0"),0)</f>
        <v>0</v>
      </c>
      <c r="AC65" s="48">
        <f>IF(AC24=2,SUMIF(AC31:AC35,"&gt;0"),0)</f>
        <v>0</v>
      </c>
      <c r="AE65" s="52">
        <f>IF(AE24=2,SUMIF(AE31:AE35,"&gt;0"),0)</f>
        <v>0</v>
      </c>
      <c r="AF65" s="48">
        <f>SUM(B65:AE65)</f>
        <v>2</v>
      </c>
      <c r="AG65" s="48">
        <f>AF73-AF65</f>
        <v>1</v>
      </c>
    </row>
    <row r="66" spans="1:49" s="48" customFormat="1" ht="12.75" hidden="1" customHeight="1" x14ac:dyDescent="0.25">
      <c r="A66" s="48" t="s">
        <v>79</v>
      </c>
      <c r="B66" s="48">
        <f>IF(B24=3,SUMIF(B31:B35,"&gt;0"),0)</f>
        <v>0</v>
      </c>
      <c r="D66" s="52">
        <f>IF(D24=3,SUMIF(D31:D35,"&gt;0"),0)</f>
        <v>1</v>
      </c>
      <c r="E66" s="48">
        <f>IF(E24=3,SUMIF(E31:E35,"&gt;0"),0)</f>
        <v>0</v>
      </c>
      <c r="G66" s="52">
        <f>IF(G24=3,SUMIF(G31:G35,"&gt;0"),0)</f>
        <v>0</v>
      </c>
      <c r="H66" s="48">
        <f>IF(H24=3,SUMIF(H31:H35,"&gt;0"),0)</f>
        <v>0</v>
      </c>
      <c r="J66" s="52">
        <f>IF(J24=3,SUMIF(J31:J35,"&gt;0"),0)</f>
        <v>0</v>
      </c>
      <c r="K66" s="48">
        <f>IF(K24=3,SUMIF(K31:K35,"&gt;0"),0)</f>
        <v>0</v>
      </c>
      <c r="M66" s="52">
        <f>IF(M24=3,SUMIF(M31:M35,"&gt;0"),0)</f>
        <v>1</v>
      </c>
      <c r="N66" s="48">
        <f>IF(N24=3,SUMIF(N31:N35,"&gt;0"),0)</f>
        <v>0</v>
      </c>
      <c r="P66" s="52">
        <f>IF(P24=3,SUMIF(P31:P35,"&gt;0"),0)</f>
        <v>0</v>
      </c>
      <c r="Q66" s="48">
        <f>IF(Q24=3,SUMIF(Q31:Q35,"&gt;0"),0)</f>
        <v>0</v>
      </c>
      <c r="S66" s="52">
        <f>IF(S24=3,SUMIF(S31:S35,"&gt;0"),0)</f>
        <v>0</v>
      </c>
      <c r="T66" s="48">
        <f>IF(T24=3,SUMIF(T31:T35,"&gt;0"),0)</f>
        <v>0</v>
      </c>
      <c r="V66" s="52">
        <f>IF(V24=3,SUMIF(V31:V35,"&gt;0"),0)</f>
        <v>0</v>
      </c>
      <c r="W66" s="48">
        <f>IF(W24=3,SUMIF(W31:W35,"&gt;0"),0)</f>
        <v>0</v>
      </c>
      <c r="Y66" s="52">
        <f>IF(Y24=3,SUMIF(Y31:Y35,"&gt;0"),0)</f>
        <v>0</v>
      </c>
      <c r="Z66" s="48">
        <f>IF(Z24=3,SUMIF(Z31:Z35,"&gt;0"),0)</f>
        <v>0</v>
      </c>
      <c r="AB66" s="52">
        <f>IF(AB24=3,SUMIF(AB31:AB35,"&gt;0"),0)</f>
        <v>0</v>
      </c>
      <c r="AC66" s="48">
        <f>IF(AC24=3,SUMIF(AC31:AC35,"&gt;0"),0)</f>
        <v>0</v>
      </c>
      <c r="AE66" s="52">
        <f>IF(AE24=3,SUMIF(AE31:AE35,"&gt;0"),0)</f>
        <v>0</v>
      </c>
      <c r="AF66" s="48">
        <f>SUM(B66:AE66)</f>
        <v>2</v>
      </c>
      <c r="AG66" s="48">
        <f>AF74-AF66</f>
        <v>1</v>
      </c>
    </row>
    <row r="67" spans="1:49" s="48" customFormat="1" ht="12.75" hidden="1" customHeight="1" x14ac:dyDescent="0.25">
      <c r="A67" s="48" t="s">
        <v>80</v>
      </c>
      <c r="B67" s="48">
        <f>IF(B24=4,SUMIF(B31:B35,"&gt;0"),0)</f>
        <v>0</v>
      </c>
      <c r="D67" s="52">
        <f>IF(D24=4,SUMIF(D31:D35,"&gt;0"),0)</f>
        <v>0</v>
      </c>
      <c r="E67" s="48">
        <f>IF(E24=4,SUMIF(E31:E35,"&gt;0"),0)</f>
        <v>0</v>
      </c>
      <c r="G67" s="52">
        <f>IF(G24=4,SUMIF(G31:G35,"&gt;0"),0)</f>
        <v>0</v>
      </c>
      <c r="H67" s="48">
        <f>IF(H24=4,SUMIF(H31:H35,"&gt;0"),0)</f>
        <v>0</v>
      </c>
      <c r="J67" s="52">
        <f>IF(J24=4,SUMIF(J31:J35,"&gt;0"),0)</f>
        <v>0</v>
      </c>
      <c r="K67" s="48">
        <f>IF(K24=4,SUMIF(K31:K35,"&gt;0"),0)</f>
        <v>0</v>
      </c>
      <c r="M67" s="52">
        <f>IF(M24=4,SUMIF(M31:M35,"&gt;0"),0)</f>
        <v>0</v>
      </c>
      <c r="N67" s="48">
        <f>IF(N24=4,SUMIF(N31:N35,"&gt;0"),0)</f>
        <v>0</v>
      </c>
      <c r="P67" s="52">
        <f>IF(P24=4,SUMIF(P31:P35,"&gt;0"),0)</f>
        <v>1</v>
      </c>
      <c r="Q67" s="48">
        <f>IF(Q24=4,SUMIF(Q31:Q35,"&gt;0"),0)</f>
        <v>0</v>
      </c>
      <c r="S67" s="52">
        <f>IF(S24=4,SUMIF(S31:S35,"&gt;0"),0)</f>
        <v>0</v>
      </c>
      <c r="T67" s="48">
        <f>IF(T24=4,SUMIF(T31:T35,"&gt;0"),0)</f>
        <v>0</v>
      </c>
      <c r="V67" s="52">
        <f>IF(V24=4,SUMIF(V31:V35,"&gt;0"),0)</f>
        <v>0</v>
      </c>
      <c r="W67" s="48">
        <f>IF(W24=4,SUMIF(W31:W35,"&gt;0"),0)</f>
        <v>0</v>
      </c>
      <c r="Y67" s="52">
        <f>IF(Y24=4,SUMIF(Y31:Y35,"&gt;0"),0)</f>
        <v>0</v>
      </c>
      <c r="Z67" s="48">
        <f>IF(Z24=4,SUMIF(Z31:Z35,"&gt;0"),0)</f>
        <v>0</v>
      </c>
      <c r="AB67" s="52">
        <f>IF(AB24=4,SUMIF(AB31:AB35,"&gt;0"),0)</f>
        <v>0</v>
      </c>
      <c r="AC67" s="48">
        <f>IF(AC24=4,SUMIF(AC31:AC35,"&gt;0"),0)</f>
        <v>0</v>
      </c>
      <c r="AE67" s="52">
        <f>IF(AE24=4,SUMIF(AE31:AE35,"&gt;0"),0)</f>
        <v>0</v>
      </c>
      <c r="AF67" s="48">
        <f>SUM(B67:AE67)</f>
        <v>1</v>
      </c>
      <c r="AG67" s="48">
        <f>AF75-AF67</f>
        <v>2</v>
      </c>
    </row>
    <row r="68" spans="1:49" s="48" customFormat="1" ht="12.75" hidden="1" customHeight="1" x14ac:dyDescent="0.25">
      <c r="A68" s="48" t="s">
        <v>81</v>
      </c>
      <c r="B68" s="48">
        <f>IF(B24=5,SUMIF(B31:B35,"&gt;0"),0)</f>
        <v>0</v>
      </c>
      <c r="D68" s="52">
        <f>IF(D24=5,SUMIF(D31:D35,"&gt;0"),0)</f>
        <v>0</v>
      </c>
      <c r="E68" s="48">
        <f>IF(E24=5,SUMIF(E31:E35,"&gt;0"),0)</f>
        <v>0</v>
      </c>
      <c r="G68" s="52">
        <f>IF(G24=5,SUMIF(G31:G35,"&gt;0"),0)</f>
        <v>0</v>
      </c>
      <c r="H68" s="48">
        <f>IF(H24=5,SUMIF(H31:H35,"&gt;0"),0)</f>
        <v>0</v>
      </c>
      <c r="J68" s="52">
        <f>IF(J24=5,SUMIF(J31:J35,"&gt;0"),0)</f>
        <v>0</v>
      </c>
      <c r="K68" s="48">
        <f>IF(K24=5,SUMIF(K31:K35,"&gt;0"),0)</f>
        <v>0</v>
      </c>
      <c r="M68" s="52">
        <f>IF(M24=5,SUMIF(M31:M35,"&gt;0"),0)</f>
        <v>0</v>
      </c>
      <c r="N68" s="48">
        <f>IF(N24=5,SUMIF(N31:N35,"&gt;0"),0)</f>
        <v>0</v>
      </c>
      <c r="P68" s="52">
        <f>IF(P24=5,SUMIF(P31:P35,"&gt;0"),0)</f>
        <v>0</v>
      </c>
      <c r="Q68" s="48">
        <f>IF(Q24=5,SUMIF(Q31:Q35,"&gt;0"),0)</f>
        <v>0</v>
      </c>
      <c r="S68" s="52">
        <f>IF(S24=5,SUMIF(S31:S35,"&gt;0"),0)</f>
        <v>0</v>
      </c>
      <c r="T68" s="48">
        <f>IF(T24=5,SUMIF(T31:T35,"&gt;0"),0)</f>
        <v>0</v>
      </c>
      <c r="V68" s="52">
        <f>IF(V24=5,SUMIF(V31:V35,"&gt;0"),0)</f>
        <v>0</v>
      </c>
      <c r="W68" s="48">
        <f>IF(W24=5,SUMIF(W31:W35,"&gt;0"),0)</f>
        <v>0</v>
      </c>
      <c r="Y68" s="52">
        <f>IF(Y24=5,SUMIF(Y31:Y35,"&gt;0"),0)</f>
        <v>0</v>
      </c>
      <c r="Z68" s="48">
        <f>IF(Z24=5,SUMIF(Z31:Z35,"&gt;0"),0)</f>
        <v>0</v>
      </c>
      <c r="AB68" s="52">
        <f>IF(AB24=5,SUMIF(AB31:AB35,"&gt;0"),0)</f>
        <v>0</v>
      </c>
      <c r="AC68" s="48">
        <f>IF(AC24=5,SUMIF(AC31:AC35,"&gt;0"),0)</f>
        <v>0</v>
      </c>
      <c r="AE68" s="52">
        <f>IF(AE24=5,SUMIF(AE31:AE35,"&gt;0"),0)</f>
        <v>0</v>
      </c>
      <c r="AF68" s="48">
        <f>SUM(B68:AE68)</f>
        <v>0</v>
      </c>
      <c r="AG68" s="48">
        <f>AF76-AF68</f>
        <v>0</v>
      </c>
    </row>
    <row r="69" spans="1:49" s="48" customFormat="1" ht="12.75" hidden="1" customHeight="1" x14ac:dyDescent="0.25">
      <c r="D69" s="52"/>
      <c r="G69" s="52"/>
      <c r="J69" s="52"/>
      <c r="M69" s="52"/>
      <c r="P69" s="52"/>
      <c r="S69" s="52"/>
      <c r="V69" s="52"/>
      <c r="Y69" s="52"/>
      <c r="AB69" s="52"/>
      <c r="AE69" s="52"/>
    </row>
    <row r="70" spans="1:49" s="48" customFormat="1" ht="12.75" hidden="1" customHeight="1" x14ac:dyDescent="0.25">
      <c r="D70" s="52"/>
      <c r="G70" s="52"/>
      <c r="J70" s="52"/>
      <c r="M70" s="52"/>
      <c r="P70" s="52"/>
      <c r="S70" s="52"/>
      <c r="V70" s="52"/>
      <c r="Y70" s="52"/>
      <c r="AB70" s="52"/>
      <c r="AE70" s="52"/>
    </row>
    <row r="71" spans="1:49" s="48" customFormat="1" ht="51" hidden="1" customHeight="1" x14ac:dyDescent="0.25">
      <c r="A71" s="51" t="s">
        <v>92</v>
      </c>
      <c r="C71" s="48">
        <f>SUMIF(B64:D68,"&gt;0")</f>
        <v>1</v>
      </c>
      <c r="D71" s="52"/>
      <c r="F71" s="48">
        <f>SUMIF(E64:G68,"&gt;0")</f>
        <v>1</v>
      </c>
      <c r="G71" s="52"/>
      <c r="I71" s="48">
        <f>SUMIF(H64:J68,"&gt;0")</f>
        <v>1</v>
      </c>
      <c r="J71" s="52"/>
      <c r="L71" s="48">
        <f>SUMIF(K64:M68,"&gt;0")</f>
        <v>1</v>
      </c>
      <c r="M71" s="52"/>
      <c r="O71" s="48">
        <f>SUMIF(N64:P68,"&gt;0")</f>
        <v>1</v>
      </c>
      <c r="P71" s="52"/>
      <c r="R71" s="48">
        <f>SUMIF(Q64:S68,"&gt;0")</f>
        <v>1</v>
      </c>
      <c r="S71" s="52"/>
      <c r="U71" s="48">
        <f>SUMIF(T64:V68,"&gt;0")</f>
        <v>0</v>
      </c>
      <c r="V71" s="52"/>
      <c r="X71" s="48">
        <f>SUMIF(W64:Y68,"&gt;0")</f>
        <v>0</v>
      </c>
      <c r="Y71" s="52"/>
      <c r="AA71" s="48">
        <f>SUMIF(Z64:AB68,"&gt;0")</f>
        <v>0</v>
      </c>
      <c r="AB71" s="52"/>
      <c r="AD71" s="48">
        <f>SUMIF(AC64:AE68,"&gt;0")</f>
        <v>0</v>
      </c>
      <c r="AE71" s="52"/>
      <c r="AF71" s="51" t="s">
        <v>93</v>
      </c>
    </row>
    <row r="72" spans="1:49" s="48" customFormat="1" ht="12.75" hidden="1" customHeight="1" x14ac:dyDescent="0.25">
      <c r="A72" s="48" t="s">
        <v>83</v>
      </c>
      <c r="B72" s="48">
        <f>IF(B24=1,C71,0)</f>
        <v>0</v>
      </c>
      <c r="D72" s="52">
        <f>IF(D24=1,C71,0)</f>
        <v>0</v>
      </c>
      <c r="E72" s="48">
        <f>IF(E24=1,F71,0)</f>
        <v>1</v>
      </c>
      <c r="G72" s="52">
        <f>IF(G24=1,F71,0)</f>
        <v>0</v>
      </c>
      <c r="H72" s="48">
        <f>IF(H24=1,I71,0)</f>
        <v>0</v>
      </c>
      <c r="J72" s="52">
        <f>IF(J24=1,I71,0)</f>
        <v>0</v>
      </c>
      <c r="K72" s="48">
        <f>IF(K24=1,L71,0)</f>
        <v>1</v>
      </c>
      <c r="M72" s="52">
        <f>IF(M24=1,L71,0)</f>
        <v>0</v>
      </c>
      <c r="N72" s="48">
        <f>IF(N24=1,O71,0)</f>
        <v>0</v>
      </c>
      <c r="P72" s="52">
        <f>IF(P24=1,O71,0)</f>
        <v>0</v>
      </c>
      <c r="Q72" s="48">
        <f>IF(Q24=1,R71,0)</f>
        <v>1</v>
      </c>
      <c r="S72" s="52">
        <f>IF(S24=1,R71,0)</f>
        <v>0</v>
      </c>
      <c r="T72" s="48">
        <f>IF(T24=1,U71,0)</f>
        <v>0</v>
      </c>
      <c r="V72" s="52">
        <f>IF(V24=1,U71,0)</f>
        <v>0</v>
      </c>
      <c r="W72" s="48">
        <f>IF(W24=1,X71,0)</f>
        <v>0</v>
      </c>
      <c r="Y72" s="52">
        <f>IF(Y24=1,X71,0)</f>
        <v>0</v>
      </c>
      <c r="Z72" s="48">
        <f>IF(Z24=1,AA71,0)</f>
        <v>0</v>
      </c>
      <c r="AB72" s="52">
        <f>IF(AB24=1,AA71,0)</f>
        <v>0</v>
      </c>
      <c r="AC72" s="48">
        <f>IF(AC24=1,AD71,0)</f>
        <v>0</v>
      </c>
      <c r="AE72" s="52">
        <f>IF(AE24=1,AD71,0)</f>
        <v>0</v>
      </c>
      <c r="AF72" s="48">
        <f>SUM(B72:AE72)</f>
        <v>3</v>
      </c>
    </row>
    <row r="73" spans="1:49" s="48" customFormat="1" ht="12.75" hidden="1" customHeight="1" x14ac:dyDescent="0.25">
      <c r="A73" s="48" t="s">
        <v>84</v>
      </c>
      <c r="B73" s="48">
        <f>IF(B24=2,C71,0)</f>
        <v>1</v>
      </c>
      <c r="D73" s="52">
        <f>IF(D24=2,C71,0)</f>
        <v>0</v>
      </c>
      <c r="E73" s="48">
        <f>IF(E24=2,F71,0)</f>
        <v>0</v>
      </c>
      <c r="G73" s="52">
        <f>IF(G24=2,F71,0)</f>
        <v>0</v>
      </c>
      <c r="H73" s="48">
        <f>IF(H24=2,I71,0)</f>
        <v>1</v>
      </c>
      <c r="J73" s="52">
        <f>IF(J24=2,I71,0)</f>
        <v>0</v>
      </c>
      <c r="K73" s="48">
        <f>IF(K24=2,L71,0)</f>
        <v>0</v>
      </c>
      <c r="M73" s="52">
        <f>IF(M24=2,L71,0)</f>
        <v>0</v>
      </c>
      <c r="N73" s="48">
        <f>IF(N24=2,O71,0)</f>
        <v>0</v>
      </c>
      <c r="P73" s="52">
        <f>IF(P24=2,O71,0)</f>
        <v>0</v>
      </c>
      <c r="Q73" s="48">
        <f>IF(Q24=2,R71,0)</f>
        <v>0</v>
      </c>
      <c r="S73" s="52">
        <f>IF(S24=2,R71,0)</f>
        <v>1</v>
      </c>
      <c r="T73" s="48">
        <f>IF(T24=2,U71,0)</f>
        <v>0</v>
      </c>
      <c r="V73" s="52">
        <f>IF(V24=2,U71,0)</f>
        <v>0</v>
      </c>
      <c r="W73" s="48">
        <f>IF(W24=2,X71,0)</f>
        <v>0</v>
      </c>
      <c r="Y73" s="52">
        <f>IF(Y24=2,X71,0)</f>
        <v>0</v>
      </c>
      <c r="Z73" s="48">
        <f>IF(Z24=2,AA71,0)</f>
        <v>0</v>
      </c>
      <c r="AB73" s="52">
        <f>IF(AB24=2,AA71,0)</f>
        <v>0</v>
      </c>
      <c r="AC73" s="48">
        <f>IF(AC24=2,AD71,0)</f>
        <v>0</v>
      </c>
      <c r="AE73" s="52">
        <f>IF(AE24=2,AD71,0)</f>
        <v>0</v>
      </c>
      <c r="AF73" s="48">
        <f>SUM(B73:AE73)</f>
        <v>3</v>
      </c>
    </row>
    <row r="74" spans="1:49" s="48" customFormat="1" ht="12.75" hidden="1" customHeight="1" x14ac:dyDescent="0.25">
      <c r="A74" s="48" t="s">
        <v>85</v>
      </c>
      <c r="B74" s="48">
        <f>IF(B24=3,C71,0)</f>
        <v>0</v>
      </c>
      <c r="D74" s="52">
        <f>IF(D24=3,C71,0)</f>
        <v>1</v>
      </c>
      <c r="E74" s="48">
        <f>IF(E24=3,F71,0)</f>
        <v>0</v>
      </c>
      <c r="G74" s="52">
        <f>IF(G24=3,F71,0)</f>
        <v>0</v>
      </c>
      <c r="H74" s="48">
        <f>IF(H24=3,I71,0)</f>
        <v>0</v>
      </c>
      <c r="J74" s="52">
        <f>IF(J24=3,I71,0)</f>
        <v>0</v>
      </c>
      <c r="K74" s="48">
        <f>IF(K24=3,L71,0)</f>
        <v>0</v>
      </c>
      <c r="M74" s="52">
        <f>IF(M24=3,L71,0)</f>
        <v>1</v>
      </c>
      <c r="N74" s="48">
        <f>IF(N24=3,O71,0)</f>
        <v>1</v>
      </c>
      <c r="P74" s="52">
        <f>IF(P24=3,O71,0)</f>
        <v>0</v>
      </c>
      <c r="Q74" s="48">
        <f>IF(Q24=3,R71,0)</f>
        <v>0</v>
      </c>
      <c r="S74" s="52">
        <f>IF(S24=3,R71,0)</f>
        <v>0</v>
      </c>
      <c r="T74" s="48">
        <f>IF(T24=3,U71,0)</f>
        <v>0</v>
      </c>
      <c r="V74" s="52">
        <f>IF(V24=3,U71,0)</f>
        <v>0</v>
      </c>
      <c r="W74" s="48">
        <f>IF(W24=3,X71,0)</f>
        <v>0</v>
      </c>
      <c r="Y74" s="52">
        <f>IF(Y24=3,X71,0)</f>
        <v>0</v>
      </c>
      <c r="Z74" s="48">
        <f>IF(Z24=3,AA71,0)</f>
        <v>0</v>
      </c>
      <c r="AB74" s="52">
        <f>IF(AB24=3,AA71,0)</f>
        <v>0</v>
      </c>
      <c r="AC74" s="48">
        <f>IF(AC24=3,AD71,0)</f>
        <v>0</v>
      </c>
      <c r="AE74" s="52">
        <f>IF(AE24=3,AD71,0)</f>
        <v>0</v>
      </c>
      <c r="AF74" s="48">
        <f>SUM(B74:AE74)</f>
        <v>3</v>
      </c>
    </row>
    <row r="75" spans="1:49" s="48" customFormat="1" ht="12.75" hidden="1" customHeight="1" x14ac:dyDescent="0.25">
      <c r="A75" s="48" t="s">
        <v>86</v>
      </c>
      <c r="B75" s="48">
        <f>IF(B24=4,C71,0)</f>
        <v>0</v>
      </c>
      <c r="D75" s="52">
        <f>IF(D24=4,C71,0)</f>
        <v>0</v>
      </c>
      <c r="E75" s="48">
        <f>IF(E24=4,F71,0)</f>
        <v>0</v>
      </c>
      <c r="G75" s="52">
        <f>IF(G24=4,F71,0)</f>
        <v>1</v>
      </c>
      <c r="H75" s="48">
        <f>IF(H24=4,I71,0)</f>
        <v>0</v>
      </c>
      <c r="J75" s="52">
        <f>IF(J24=4,I71,0)</f>
        <v>1</v>
      </c>
      <c r="K75" s="48">
        <f>IF(K24=4,L71,0)</f>
        <v>0</v>
      </c>
      <c r="M75" s="52">
        <f>IF(M24=4,L71,0)</f>
        <v>0</v>
      </c>
      <c r="N75" s="48">
        <f>IF(N24=4,O71,0)</f>
        <v>0</v>
      </c>
      <c r="P75" s="52">
        <f>IF(P24=4,O71,0)</f>
        <v>1</v>
      </c>
      <c r="Q75" s="48">
        <f>IF(Q24=4,R71,0)</f>
        <v>0</v>
      </c>
      <c r="S75" s="52">
        <f>IF(S24=4,R71,0)</f>
        <v>0</v>
      </c>
      <c r="T75" s="48">
        <f>IF(T24=4,U71,0)</f>
        <v>0</v>
      </c>
      <c r="V75" s="52">
        <f>IF(V24=4,U71,0)</f>
        <v>0</v>
      </c>
      <c r="W75" s="48">
        <f>IF(W24=4,X71,0)</f>
        <v>0</v>
      </c>
      <c r="Y75" s="52">
        <f>IF(Y24=4,X71,0)</f>
        <v>0</v>
      </c>
      <c r="Z75" s="48">
        <f>IF(Z24=4,AA71,0)</f>
        <v>0</v>
      </c>
      <c r="AB75" s="52">
        <f>IF(AB24=4,AA71,0)</f>
        <v>0</v>
      </c>
      <c r="AC75" s="48">
        <f>IF(AC24=4,AD71,0)</f>
        <v>0</v>
      </c>
      <c r="AE75" s="52">
        <f>IF(AE24=4,AD71,0)</f>
        <v>0</v>
      </c>
      <c r="AF75" s="48">
        <f>SUM(B75:AE75)</f>
        <v>3</v>
      </c>
    </row>
    <row r="76" spans="1:49" s="48" customFormat="1" ht="12.75" hidden="1" customHeight="1" x14ac:dyDescent="0.25">
      <c r="A76" s="48" t="s">
        <v>87</v>
      </c>
      <c r="B76" s="48">
        <f>IF(B24=5,C71,0)</f>
        <v>0</v>
      </c>
      <c r="D76" s="52">
        <f>IF(D24=5,C71,0)</f>
        <v>0</v>
      </c>
      <c r="E76" s="48">
        <f>IF(E24=5,F71,0)</f>
        <v>0</v>
      </c>
      <c r="G76" s="52">
        <f>IF(G24=5,F71,0)</f>
        <v>0</v>
      </c>
      <c r="H76" s="48">
        <f>IF(H24=5,I71,0)</f>
        <v>0</v>
      </c>
      <c r="J76" s="52">
        <f>IF(J24=5,I71,0)</f>
        <v>0</v>
      </c>
      <c r="K76" s="48">
        <f>IF(K24=5,L71,0)</f>
        <v>0</v>
      </c>
      <c r="M76" s="52">
        <f>IF(M24=5,L71,0)</f>
        <v>0</v>
      </c>
      <c r="N76" s="48">
        <f>IF(N24=5,O71,0)</f>
        <v>0</v>
      </c>
      <c r="P76" s="52">
        <f>IF(P24=5,O71,0)</f>
        <v>0</v>
      </c>
      <c r="Q76" s="48">
        <f>IF(Q24=5,R71,0)</f>
        <v>0</v>
      </c>
      <c r="S76" s="52">
        <f>IF(S24=5,R71,0)</f>
        <v>0</v>
      </c>
      <c r="T76" s="48">
        <f>IF(T24=5,U71,0)</f>
        <v>0</v>
      </c>
      <c r="V76" s="52">
        <f>IF(V24=5,U71,0)</f>
        <v>0</v>
      </c>
      <c r="W76" s="48">
        <f>IF(W24=5,X71,0)</f>
        <v>0</v>
      </c>
      <c r="Y76" s="52">
        <f>IF(Y24=5,X71,0)</f>
        <v>0</v>
      </c>
      <c r="Z76" s="48">
        <f>IF(Z24=5,AA71,0)</f>
        <v>0</v>
      </c>
      <c r="AB76" s="52">
        <f>IF(AB24=5,AA71,0)</f>
        <v>0</v>
      </c>
      <c r="AC76" s="48">
        <f>IF(AC24=5,AD71,0)</f>
        <v>0</v>
      </c>
      <c r="AE76" s="52">
        <f>IF(AE24=5,AD71,0)</f>
        <v>0</v>
      </c>
      <c r="AF76" s="48">
        <f>SUM(B76:AE76)</f>
        <v>0</v>
      </c>
    </row>
    <row r="77" spans="1:49" hidden="1" x14ac:dyDescent="0.2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4"/>
      <c r="AO77" s="74"/>
      <c r="AP77" s="74"/>
      <c r="AQ77" s="74"/>
      <c r="AR77" s="55"/>
      <c r="AS77" s="55"/>
      <c r="AT77" s="56"/>
    </row>
    <row r="78" spans="1:49" s="55" customFormat="1" hidden="1" x14ac:dyDescent="0.25">
      <c r="A78" s="57"/>
      <c r="B78" s="57"/>
      <c r="C78" s="57" t="s">
        <v>94</v>
      </c>
      <c r="D78" s="57">
        <v>1</v>
      </c>
      <c r="E78" s="57"/>
      <c r="F78" s="57"/>
      <c r="G78" s="57">
        <v>2</v>
      </c>
      <c r="H78" s="57"/>
      <c r="I78" s="57"/>
      <c r="J78" s="57">
        <v>3</v>
      </c>
      <c r="K78" s="57"/>
      <c r="L78" s="57"/>
      <c r="M78" s="57">
        <v>4</v>
      </c>
      <c r="N78" s="57"/>
      <c r="O78" s="57"/>
      <c r="P78" s="57">
        <v>5</v>
      </c>
      <c r="Q78" s="57"/>
      <c r="R78" s="57"/>
      <c r="S78" s="57">
        <v>6</v>
      </c>
      <c r="T78" s="57"/>
      <c r="U78" s="57"/>
      <c r="V78" s="57">
        <v>7</v>
      </c>
      <c r="W78" s="57"/>
      <c r="X78" s="57"/>
      <c r="Y78" s="57">
        <v>8</v>
      </c>
      <c r="Z78" s="57"/>
      <c r="AA78" s="57"/>
      <c r="AB78" s="57">
        <v>9</v>
      </c>
      <c r="AC78" s="57"/>
      <c r="AD78" s="57"/>
      <c r="AE78" s="57">
        <v>10</v>
      </c>
      <c r="AF78" s="4"/>
      <c r="AG78" s="57"/>
      <c r="AI78" s="58"/>
      <c r="AJ78" s="4"/>
      <c r="AK78" s="4"/>
      <c r="AL78" s="4"/>
      <c r="AM78" s="4"/>
      <c r="AN78" s="4"/>
      <c r="AO78" s="4"/>
      <c r="AT78" s="58" t="s">
        <v>95</v>
      </c>
      <c r="AW78" s="59"/>
    </row>
    <row r="79" spans="1:49" s="55" customFormat="1" hidden="1" x14ac:dyDescent="0.25">
      <c r="A79" s="60">
        <v>1</v>
      </c>
      <c r="B79" s="60" t="str">
        <f>E8</f>
        <v>MBVC 12U Elite Karla</v>
      </c>
      <c r="C79" s="60">
        <f>VLOOKUP(B79,AU$3:AW$33,3,FALSE)</f>
        <v>1230.5154731351377</v>
      </c>
      <c r="D79" s="60">
        <f>IF(B72,B87,IF(D72,D87,C79))</f>
        <v>1230.5154731351377</v>
      </c>
      <c r="E79" s="60"/>
      <c r="F79" s="60"/>
      <c r="G79" s="60">
        <f>IF(E72,E87,IF(G72,G87,D79))</f>
        <v>1238.1425871977519</v>
      </c>
      <c r="H79" s="60"/>
      <c r="I79" s="60"/>
      <c r="J79" s="60">
        <f>IF(H72,H87,IF(J72,J87,G79))</f>
        <v>1238.1425871977519</v>
      </c>
      <c r="K79" s="60"/>
      <c r="L79" s="60"/>
      <c r="M79" s="60">
        <f>IF(K72,K87,IF(M72,M87,J79))</f>
        <v>1231.8547236786872</v>
      </c>
      <c r="N79" s="60"/>
      <c r="O79" s="60"/>
      <c r="P79" s="60">
        <f>IF(N72,N87,IF(P72,P87,M79))</f>
        <v>1231.8547236786872</v>
      </c>
      <c r="Q79" s="60"/>
      <c r="R79" s="60"/>
      <c r="S79" s="60">
        <f>IF(Q72,Q87,IF(S72,S87,P79))</f>
        <v>1223.6919791768021</v>
      </c>
      <c r="T79" s="60"/>
      <c r="U79" s="60"/>
      <c r="V79" s="60">
        <f>IF(T72,T87,IF(V72,V87,S79))</f>
        <v>1223.6919791768021</v>
      </c>
      <c r="W79" s="60"/>
      <c r="X79" s="60"/>
      <c r="Y79" s="60">
        <f>IF(W72,W87,IF(Y72,Y87,V79))</f>
        <v>1223.6919791768021</v>
      </c>
      <c r="Z79" s="60"/>
      <c r="AA79" s="60"/>
      <c r="AB79" s="60">
        <f>IF(Z72,Z87,IF(AB72,AB87,Y79))</f>
        <v>1223.6919791768021</v>
      </c>
      <c r="AC79" s="60"/>
      <c r="AD79" s="60"/>
      <c r="AE79" s="60">
        <f>IF(AC72,AC87,IF(AE72,AE87,AB79))</f>
        <v>1223.6919791768021</v>
      </c>
      <c r="AF79" s="4"/>
      <c r="AG79" s="4"/>
      <c r="AJ79" s="4"/>
      <c r="AK79" s="4"/>
      <c r="AL79" s="4"/>
      <c r="AM79" s="4"/>
      <c r="AN79" s="4"/>
      <c r="AO79" s="4"/>
      <c r="AT79" s="55" t="str">
        <f>B79</f>
        <v>MBVC 12U Elite Karla</v>
      </c>
      <c r="AU79" s="55">
        <f>AE79</f>
        <v>1223.6919791768021</v>
      </c>
      <c r="AW79" s="59"/>
    </row>
    <row r="80" spans="1:49" s="55" customFormat="1" hidden="1" x14ac:dyDescent="0.25">
      <c r="A80" s="60">
        <v>2</v>
      </c>
      <c r="B80" s="60" t="str">
        <f>E10</f>
        <v>Foothills 12 Cait</v>
      </c>
      <c r="C80" s="60">
        <f>VLOOKUP(B80,AU$3:AW$33,3,FALSE)</f>
        <v>1223.116601965821</v>
      </c>
      <c r="D80" s="60">
        <f>IF(B73,B87,IF(D73,D87,C80))</f>
        <v>1217.0238963151128</v>
      </c>
      <c r="E80" s="60"/>
      <c r="F80" s="60"/>
      <c r="G80" s="60">
        <f>IF(E73,E87,IF(G73,G87,D80))</f>
        <v>1217.0238963151128</v>
      </c>
      <c r="H80" s="60"/>
      <c r="I80" s="60"/>
      <c r="J80" s="60">
        <f>IF(H73,H87,IF(J73,J87,G80))</f>
        <v>1224.7858445293791</v>
      </c>
      <c r="K80" s="60"/>
      <c r="L80" s="60"/>
      <c r="M80" s="60">
        <f>IF(K73,K87,IF(M73,M87,J80))</f>
        <v>1224.7858445293791</v>
      </c>
      <c r="N80" s="60"/>
      <c r="O80" s="60"/>
      <c r="P80" s="60">
        <f>IF(N73,N87,IF(P73,P87,M80))</f>
        <v>1224.7858445293791</v>
      </c>
      <c r="Q80" s="60"/>
      <c r="R80" s="60"/>
      <c r="S80" s="60">
        <f>IF(Q73,Q87,IF(S73,S87,P80))</f>
        <v>1232.9485890312642</v>
      </c>
      <c r="T80" s="60"/>
      <c r="U80" s="60"/>
      <c r="V80" s="60">
        <f>IF(T73,T87,IF(V73,V87,S80))</f>
        <v>1232.9485890312642</v>
      </c>
      <c r="W80" s="60"/>
      <c r="X80" s="60"/>
      <c r="Y80" s="60">
        <f>IF(W73,W87,IF(Y73,Y87,V80))</f>
        <v>1232.9485890312642</v>
      </c>
      <c r="Z80" s="60"/>
      <c r="AA80" s="60"/>
      <c r="AB80" s="60">
        <f>IF(Z73,Z87,IF(AB73,AB87,Y80))</f>
        <v>1232.9485890312642</v>
      </c>
      <c r="AC80" s="60"/>
      <c r="AD80" s="60"/>
      <c r="AE80" s="60">
        <f>IF(AC73,AC87,IF(AE73,AE87,AB80))</f>
        <v>1232.9485890312642</v>
      </c>
      <c r="AF80" s="4"/>
      <c r="AG80" s="4"/>
      <c r="AJ80" s="4"/>
      <c r="AL80" s="4"/>
      <c r="AM80" s="4"/>
      <c r="AN80" s="4"/>
      <c r="AO80" s="4"/>
      <c r="AT80" s="55" t="str">
        <f>B80</f>
        <v>Foothills 12 Cait</v>
      </c>
      <c r="AU80" s="55">
        <f>AE80</f>
        <v>1232.9485890312642</v>
      </c>
      <c r="AW80" s="59"/>
    </row>
    <row r="81" spans="1:49" s="55" customFormat="1" hidden="1" x14ac:dyDescent="0.25">
      <c r="A81" s="60">
        <v>3</v>
      </c>
      <c r="B81" s="60" t="str">
        <f>E12</f>
        <v>SC Midlands KP Garnet</v>
      </c>
      <c r="C81" s="60">
        <f>VLOOKUP(B81,AU$3:AW$33,3,FALSE)</f>
        <v>1307.5745496164714</v>
      </c>
      <c r="D81" s="60">
        <f>IF(B74,B87,IF(D74,D87,C81))</f>
        <v>1313.6672552671796</v>
      </c>
      <c r="E81" s="60"/>
      <c r="F81" s="60"/>
      <c r="G81" s="60">
        <f>IF(E74,E87,IF(G74,G87,D81))</f>
        <v>1313.6672552671796</v>
      </c>
      <c r="H81" s="60"/>
      <c r="I81" s="60"/>
      <c r="J81" s="60">
        <f>IF(H74,H87,IF(J74,J87,G81))</f>
        <v>1313.6672552671796</v>
      </c>
      <c r="K81" s="60"/>
      <c r="L81" s="60"/>
      <c r="M81" s="60">
        <f>IF(K74,K87,IF(M74,M87,J81))</f>
        <v>1319.9551187862444</v>
      </c>
      <c r="N81" s="60"/>
      <c r="O81" s="60"/>
      <c r="P81" s="60">
        <f>IF(N74,N87,IF(P74,P87,M81))</f>
        <v>1309.2757150235238</v>
      </c>
      <c r="Q81" s="60"/>
      <c r="R81" s="60"/>
      <c r="S81" s="60">
        <f>IF(Q74,Q87,IF(S74,S87,P81))</f>
        <v>1309.2757150235238</v>
      </c>
      <c r="T81" s="60"/>
      <c r="U81" s="60"/>
      <c r="V81" s="60">
        <f>IF(T74,T87,IF(V74,V87,S81))</f>
        <v>1309.2757150235238</v>
      </c>
      <c r="W81" s="60"/>
      <c r="X81" s="60"/>
      <c r="Y81" s="60">
        <f>IF(W74,W87,IF(Y74,Y87,V81))</f>
        <v>1309.2757150235238</v>
      </c>
      <c r="Z81" s="60"/>
      <c r="AA81" s="60"/>
      <c r="AB81" s="60">
        <f>IF(Z74,Z87,IF(AB74,AB87,Y81))</f>
        <v>1309.2757150235238</v>
      </c>
      <c r="AC81" s="60"/>
      <c r="AD81" s="60"/>
      <c r="AE81" s="60">
        <f>IF(AC74,AC87,IF(AE74,AE87,AB81))</f>
        <v>1309.2757150235238</v>
      </c>
      <c r="AF81" s="4"/>
      <c r="AG81" s="4"/>
      <c r="AJ81" s="4"/>
      <c r="AL81" s="4"/>
      <c r="AM81" s="4"/>
      <c r="AN81" s="4"/>
      <c r="AO81" s="4"/>
      <c r="AT81" s="55" t="str">
        <f>B81</f>
        <v>SC Midlands KP Garnet</v>
      </c>
      <c r="AU81" s="55">
        <f>AE81</f>
        <v>1309.2757150235238</v>
      </c>
      <c r="AW81" s="59"/>
    </row>
    <row r="82" spans="1:49" s="55" customFormat="1" hidden="1" x14ac:dyDescent="0.25">
      <c r="A82" s="60">
        <v>4</v>
      </c>
      <c r="B82" s="60" t="str">
        <f>E14</f>
        <v>Emerald City 12-Dev</v>
      </c>
      <c r="C82" s="60">
        <f>VLOOKUP(B82,AU$3:AW$33,3,FALSE)</f>
        <v>1214.3094996726038</v>
      </c>
      <c r="D82" s="60">
        <f>IF(B75,B87,IF(D75,D87,C82))</f>
        <v>1214.3094996726038</v>
      </c>
      <c r="E82" s="60"/>
      <c r="F82" s="60"/>
      <c r="G82" s="60">
        <f>IF(E75,E87,IF(G75,G87,D82))</f>
        <v>1206.6823856099895</v>
      </c>
      <c r="H82" s="60"/>
      <c r="I82" s="60"/>
      <c r="J82" s="60">
        <f>IF(H75,H87,IF(J75,J87,G82))</f>
        <v>1198.9204373957232</v>
      </c>
      <c r="K82" s="60"/>
      <c r="L82" s="60"/>
      <c r="M82" s="60">
        <f>IF(K75,K87,IF(M75,M87,J82))</f>
        <v>1198.9204373957232</v>
      </c>
      <c r="N82" s="60"/>
      <c r="O82" s="60"/>
      <c r="P82" s="60">
        <f>IF(N75,N87,IF(P75,P87,M82))</f>
        <v>1209.5998411584437</v>
      </c>
      <c r="Q82" s="60"/>
      <c r="R82" s="60"/>
      <c r="S82" s="60">
        <f>IF(Q75,Q87,IF(S75,S87,P82))</f>
        <v>1209.5998411584437</v>
      </c>
      <c r="T82" s="60"/>
      <c r="U82" s="60"/>
      <c r="V82" s="60">
        <f>IF(T75,T87,IF(V75,V87,S82))</f>
        <v>1209.5998411584437</v>
      </c>
      <c r="W82" s="60"/>
      <c r="X82" s="60"/>
      <c r="Y82" s="60">
        <f>IF(W75,W87,IF(Y75,Y87,V82))</f>
        <v>1209.5998411584437</v>
      </c>
      <c r="Z82" s="60"/>
      <c r="AA82" s="60"/>
      <c r="AB82" s="60">
        <f>IF(Z75,Z87,IF(AB75,AB87,Y82))</f>
        <v>1209.5998411584437</v>
      </c>
      <c r="AC82" s="60"/>
      <c r="AD82" s="60"/>
      <c r="AE82" s="60">
        <f>IF(AC75,AC87,IF(AE75,AE87,AB82))</f>
        <v>1209.5998411584437</v>
      </c>
      <c r="AF82" s="4"/>
      <c r="AG82" s="4"/>
      <c r="AJ82" s="4"/>
      <c r="AL82" s="4"/>
      <c r="AM82" s="4"/>
      <c r="AN82" s="4"/>
      <c r="AO82" s="4"/>
      <c r="AT82" s="55" t="str">
        <f>B82</f>
        <v>Emerald City 12-Dev</v>
      </c>
      <c r="AU82" s="55">
        <f>AE82</f>
        <v>1209.5998411584437</v>
      </c>
      <c r="AW82" s="59"/>
    </row>
    <row r="83" spans="1:49" s="55" customFormat="1" hidden="1" x14ac:dyDescent="0.25">
      <c r="A83" s="60">
        <v>5</v>
      </c>
      <c r="B83" s="60" t="e">
        <f>E16</f>
        <v>#REF!</v>
      </c>
      <c r="C83" s="60" t="e">
        <f>VLOOKUP(B83,AU$3:AW$33,3,FALSE)</f>
        <v>#REF!</v>
      </c>
      <c r="D83" s="60" t="e">
        <f>IF(B76,B87,IF(D76,D87,C83))</f>
        <v>#REF!</v>
      </c>
      <c r="E83" s="60"/>
      <c r="F83" s="60"/>
      <c r="G83" s="60" t="e">
        <f>IF(E76,E87,IF(G76,G87,D83))</f>
        <v>#REF!</v>
      </c>
      <c r="H83" s="60"/>
      <c r="I83" s="60"/>
      <c r="J83" s="60" t="e">
        <f>IF(H76,H87,IF(J76,J87,G83))</f>
        <v>#REF!</v>
      </c>
      <c r="K83" s="60"/>
      <c r="L83" s="60"/>
      <c r="M83" s="60" t="e">
        <f>IF(K76,K87,IF(M76,M87,J83))</f>
        <v>#REF!</v>
      </c>
      <c r="N83" s="60"/>
      <c r="O83" s="60"/>
      <c r="P83" s="60" t="e">
        <f>IF(N76,N87,IF(P76,P87,M83))</f>
        <v>#REF!</v>
      </c>
      <c r="Q83" s="60"/>
      <c r="R83" s="60"/>
      <c r="S83" s="60" t="e">
        <f>IF(Q76,Q87,IF(S76,S87,P83))</f>
        <v>#REF!</v>
      </c>
      <c r="T83" s="60"/>
      <c r="U83" s="60"/>
      <c r="V83" s="60" t="e">
        <f>IF(T76,T87,IF(V76,V87,S83))</f>
        <v>#REF!</v>
      </c>
      <c r="W83" s="60"/>
      <c r="X83" s="60"/>
      <c r="Y83" s="60" t="e">
        <f>IF(W76,W87,IF(Y76,Y87,V83))</f>
        <v>#REF!</v>
      </c>
      <c r="Z83" s="60"/>
      <c r="AA83" s="60"/>
      <c r="AB83" s="60" t="e">
        <f>IF(Z76,Z87,IF(AB76,AB87,Y83))</f>
        <v>#REF!</v>
      </c>
      <c r="AC83" s="60"/>
      <c r="AD83" s="60"/>
      <c r="AE83" s="60" t="e">
        <f>IF(AC76,AC87,IF(AE76,AE87,AB83))</f>
        <v>#REF!</v>
      </c>
      <c r="AF83" s="4"/>
      <c r="AG83" s="4"/>
      <c r="AJ83" s="4"/>
      <c r="AL83" s="4"/>
      <c r="AM83" s="4"/>
      <c r="AN83" s="4"/>
      <c r="AO83" s="4"/>
      <c r="AT83" s="55" t="e">
        <f>B83</f>
        <v>#REF!</v>
      </c>
      <c r="AU83" s="55" t="e">
        <f>AE83</f>
        <v>#REF!</v>
      </c>
      <c r="AW83" s="59"/>
    </row>
    <row r="84" spans="1:49" s="55" customFormat="1" hidden="1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4"/>
      <c r="AG84" s="4"/>
      <c r="AJ84" s="4"/>
      <c r="AL84" s="4"/>
      <c r="AM84" s="4"/>
      <c r="AN84" s="4"/>
      <c r="AO84" s="4"/>
      <c r="AW84" s="59"/>
    </row>
    <row r="85" spans="1:49" s="55" customFormat="1" hidden="1" x14ac:dyDescent="0.25">
      <c r="A85" s="60" t="s">
        <v>96</v>
      </c>
      <c r="B85" s="60">
        <f>VLOOKUP(B24,$A79:$AE83,3,FALSE)</f>
        <v>1223.116601965821</v>
      </c>
      <c r="C85" s="60">
        <v>1</v>
      </c>
      <c r="D85" s="60">
        <f>VLOOKUP(D24,$A79:$AE83,3,FALSE)</f>
        <v>1307.5745496164714</v>
      </c>
      <c r="E85" s="60">
        <f>VLOOKUP(E24,$A79:$AE83,4,FALSE)</f>
        <v>1230.5154731351377</v>
      </c>
      <c r="F85" s="60">
        <v>2</v>
      </c>
      <c r="G85" s="60">
        <f>VLOOKUP(G24,$A79:$AE83,4,FALSE)</f>
        <v>1214.3094996726038</v>
      </c>
      <c r="H85" s="60">
        <f>VLOOKUP(H24,$A79:$AE83,7,FALSE)</f>
        <v>1217.0238963151128</v>
      </c>
      <c r="I85" s="60">
        <v>3</v>
      </c>
      <c r="J85" s="60">
        <f>VLOOKUP(J24,$A79:$AE83,7,FALSE)</f>
        <v>1206.6823856099895</v>
      </c>
      <c r="K85" s="60">
        <f>VLOOKUP(K24,$A79:$AE83,10,FALSE)</f>
        <v>1238.1425871977519</v>
      </c>
      <c r="L85" s="60">
        <v>4</v>
      </c>
      <c r="M85" s="60">
        <f>VLOOKUP(M24,$A79:$AE83,10,FALSE)</f>
        <v>1313.6672552671796</v>
      </c>
      <c r="N85" s="60">
        <f>VLOOKUP(N24,$A79:$AE83,13,FALSE)</f>
        <v>1319.9551187862444</v>
      </c>
      <c r="O85" s="60">
        <v>5</v>
      </c>
      <c r="P85" s="60">
        <f>VLOOKUP(P24,$A79:$AE83,13,FALSE)</f>
        <v>1198.9204373957232</v>
      </c>
      <c r="Q85" s="60">
        <f>VLOOKUP(Q24,$A79:$AE83,16,FALSE)</f>
        <v>1231.8547236786872</v>
      </c>
      <c r="R85" s="60">
        <v>6</v>
      </c>
      <c r="S85" s="60">
        <f>VLOOKUP(S24,$A79:$AE83,16,FALSE)</f>
        <v>1224.7858445293791</v>
      </c>
      <c r="T85" s="60" t="e">
        <f>VLOOKUP(T24,$A79:$AE83,19,FALSE)</f>
        <v>#N/A</v>
      </c>
      <c r="U85" s="60">
        <v>7</v>
      </c>
      <c r="V85" s="60" t="e">
        <f>VLOOKUP(V24,$A79:$AE83,19,FALSE)</f>
        <v>#N/A</v>
      </c>
      <c r="W85" s="60" t="e">
        <f>VLOOKUP(W24,$A79:$AE83,22,FALSE)</f>
        <v>#N/A</v>
      </c>
      <c r="X85" s="60">
        <v>8</v>
      </c>
      <c r="Y85" s="60" t="e">
        <f>VLOOKUP(Y24,$A79:$AE83,22,FALSE)</f>
        <v>#N/A</v>
      </c>
      <c r="Z85" s="60" t="e">
        <f>VLOOKUP(Z24,$A79:$AE83,25,FALSE)</f>
        <v>#N/A</v>
      </c>
      <c r="AA85" s="60">
        <v>9</v>
      </c>
      <c r="AB85" s="60" t="e">
        <f>VLOOKUP(AB24,$A79:$AE83,25,FALSE)</f>
        <v>#N/A</v>
      </c>
      <c r="AC85" s="60" t="e">
        <f>VLOOKUP(AC24,$A79:$AE83,28,FALSE)</f>
        <v>#N/A</v>
      </c>
      <c r="AD85" s="60">
        <v>10</v>
      </c>
      <c r="AE85" s="60" t="e">
        <f>VLOOKUP(AE24,$A79:$AE83,28,FALSE)</f>
        <v>#N/A</v>
      </c>
      <c r="AF85" s="4"/>
      <c r="AG85" s="73"/>
      <c r="AH85" s="73"/>
      <c r="AI85" s="73"/>
      <c r="AJ85" s="73"/>
      <c r="AK85" s="73"/>
      <c r="AL85" s="73"/>
      <c r="AM85" s="73"/>
      <c r="AN85" s="74"/>
      <c r="AO85" s="74"/>
      <c r="AP85" s="74"/>
      <c r="AQ85" s="74"/>
      <c r="AW85" s="59"/>
    </row>
    <row r="86" spans="1:49" s="65" customFormat="1" hidden="1" x14ac:dyDescent="0.25">
      <c r="A86" s="61" t="s">
        <v>97</v>
      </c>
      <c r="B86" s="61">
        <f>1/(1+(10^-((B85-D85)/400)))*(B36+D36)</f>
        <v>0.38079410316926332</v>
      </c>
      <c r="C86" s="61"/>
      <c r="D86" s="61">
        <f>1/(1+(10^-((D85-B85)/400)))*(B36+D36)</f>
        <v>0.61920589683073668</v>
      </c>
      <c r="E86" s="61">
        <f>1/(1+(10^-((E85-G85)/400)))*(E36+G36)</f>
        <v>0.52330537108661335</v>
      </c>
      <c r="F86" s="61"/>
      <c r="G86" s="61">
        <f>1/(1+(10^-((G85-E85)/400)))*(E36+G36)</f>
        <v>0.47669462891338676</v>
      </c>
      <c r="H86" s="61">
        <f>1/(1+(10^-((H85-J85)/400)))*(H36+J36)</f>
        <v>0.51487823660835319</v>
      </c>
      <c r="I86" s="61"/>
      <c r="J86" s="61">
        <f>1/(1+(10^-((J85-H85)/400)))*(H36+J36)</f>
        <v>0.48512176339164687</v>
      </c>
      <c r="K86" s="61">
        <f>1/(1+(10^-((K85-M85)/400)))*(K36+M36)</f>
        <v>0.39299146994154954</v>
      </c>
      <c r="L86" s="61"/>
      <c r="M86" s="61">
        <f>1/(1+(10^-((M85-K85)/400)))*(K36+M36)</f>
        <v>0.60700853005845046</v>
      </c>
      <c r="N86" s="61">
        <f>1/(1+(10^-((N85-P85)/400)))*(N36+P36)</f>
        <v>0.66746273517002852</v>
      </c>
      <c r="O86" s="61"/>
      <c r="P86" s="61">
        <f>1/(1+(10^-((P85-N85)/400)))*(N36+P36)</f>
        <v>0.33253726482997148</v>
      </c>
      <c r="Q86" s="61">
        <f>1/(1+(10^-((Q85-S85)/400)))*(Q36+S36)</f>
        <v>0.51017153136782212</v>
      </c>
      <c r="R86" s="61"/>
      <c r="S86" s="61">
        <f>1/(1+(10^-((S85-Q85)/400)))*(Q36+S36)</f>
        <v>0.48982846863217788</v>
      </c>
      <c r="T86" s="61" t="e">
        <f>1/(1+(10^-((T85-V85)/400)))*(T36+V36)</f>
        <v>#N/A</v>
      </c>
      <c r="U86" s="61"/>
      <c r="V86" s="61" t="e">
        <f>1/(1+(10^-((V85-T85)/400)))*(T36+V36)</f>
        <v>#N/A</v>
      </c>
      <c r="W86" s="61" t="e">
        <f>1/(1+(10^-((W85-Y85)/400)))*(W36+Y36)</f>
        <v>#N/A</v>
      </c>
      <c r="X86" s="61"/>
      <c r="Y86" s="61" t="e">
        <f>1/(1+(10^-((Y85-W85)/400)))*(W36+Y36)</f>
        <v>#N/A</v>
      </c>
      <c r="Z86" s="61" t="e">
        <f>1/(1+(10^-((Z85-AB85)/400)))*(Z36+AB36)</f>
        <v>#N/A</v>
      </c>
      <c r="AA86" s="61"/>
      <c r="AB86" s="61" t="e">
        <f>1/(1+(10^-((AB85-Z85)/400)))*(Z36+AB36)</f>
        <v>#N/A</v>
      </c>
      <c r="AC86" s="61" t="e">
        <f>1/(1+(10^-((AC85-AE85)/400)))*(AC36+AE36)</f>
        <v>#N/A</v>
      </c>
      <c r="AD86" s="61"/>
      <c r="AE86" s="61" t="e">
        <f>1/(1+(10^-((AE85-AC85)/400)))*(AC36+AE36)</f>
        <v>#N/A</v>
      </c>
      <c r="AF86" s="62"/>
      <c r="AG86" s="63"/>
      <c r="AH86" s="63"/>
      <c r="AI86" s="63"/>
      <c r="AJ86" s="63"/>
      <c r="AK86" s="63"/>
      <c r="AL86" s="63"/>
      <c r="AM86" s="63"/>
      <c r="AN86" s="64"/>
      <c r="AO86" s="64"/>
      <c r="AP86" s="64"/>
      <c r="AQ86" s="64"/>
      <c r="AW86" s="66"/>
    </row>
    <row r="87" spans="1:49" s="71" customFormat="1" hidden="1" x14ac:dyDescent="0.25">
      <c r="A87" s="67" t="s">
        <v>98</v>
      </c>
      <c r="B87" s="67">
        <f>B85+(B36-B86)*$BA$1</f>
        <v>1217.0238963151128</v>
      </c>
      <c r="C87" s="67"/>
      <c r="D87" s="67">
        <f>D85+(D36-D86)*$BA$1</f>
        <v>1313.6672552671796</v>
      </c>
      <c r="E87" s="67">
        <f>E85+(E36-E86)*$BA$1</f>
        <v>1238.1425871977519</v>
      </c>
      <c r="F87" s="67"/>
      <c r="G87" s="67">
        <f>G85+(G36-G86)*$BA$1</f>
        <v>1206.6823856099895</v>
      </c>
      <c r="H87" s="67">
        <f>H85+(H36-H86)*$BA$1</f>
        <v>1224.7858445293791</v>
      </c>
      <c r="I87" s="67"/>
      <c r="J87" s="67">
        <f>J85+(J36-J86)*$BA$1</f>
        <v>1198.9204373957232</v>
      </c>
      <c r="K87" s="67">
        <f>K85+(K36-K86)*$BA$1</f>
        <v>1231.8547236786872</v>
      </c>
      <c r="L87" s="67"/>
      <c r="M87" s="67">
        <f>M85+(M36-M86)*$BA$1</f>
        <v>1319.9551187862444</v>
      </c>
      <c r="N87" s="67">
        <f>N85+(N36-N86)*$BA$1</f>
        <v>1309.2757150235238</v>
      </c>
      <c r="O87" s="67"/>
      <c r="P87" s="67">
        <f>P85+(P36-P86)*$BA$1</f>
        <v>1209.5998411584437</v>
      </c>
      <c r="Q87" s="67">
        <f>Q85+(Q36-Q86)*$BA$1</f>
        <v>1223.6919791768021</v>
      </c>
      <c r="R87" s="67"/>
      <c r="S87" s="67">
        <f>S85+(S36-S86)*$BA$1</f>
        <v>1232.9485890312642</v>
      </c>
      <c r="T87" s="67" t="e">
        <f>T85+(T36-T86)*$BA$1</f>
        <v>#N/A</v>
      </c>
      <c r="U87" s="67"/>
      <c r="V87" s="67" t="e">
        <f>V85+(V36-V86)*$BA$1</f>
        <v>#N/A</v>
      </c>
      <c r="W87" s="67" t="e">
        <f>W85+(W36-W86)*$BA$1</f>
        <v>#N/A</v>
      </c>
      <c r="X87" s="67"/>
      <c r="Y87" s="67" t="e">
        <f>Y85+(Y36-Y86)*$BA$1</f>
        <v>#N/A</v>
      </c>
      <c r="Z87" s="67" t="e">
        <f>Z85+(Z36-Z86)*$BA$1</f>
        <v>#N/A</v>
      </c>
      <c r="AA87" s="67"/>
      <c r="AB87" s="67" t="e">
        <f>AB85+(AB36-AB86)*$BA$1</f>
        <v>#N/A</v>
      </c>
      <c r="AC87" s="67" t="e">
        <f>AC85+(AC36-AC86)*$BA$1</f>
        <v>#N/A</v>
      </c>
      <c r="AD87" s="67"/>
      <c r="AE87" s="67" t="e">
        <f>AE85+(AE36-AE86)*$BA$1</f>
        <v>#N/A</v>
      </c>
      <c r="AF87" s="68"/>
      <c r="AG87" s="69"/>
      <c r="AH87" s="69"/>
      <c r="AI87" s="69"/>
      <c r="AJ87" s="69"/>
      <c r="AK87" s="69"/>
      <c r="AL87" s="69"/>
      <c r="AM87" s="69"/>
      <c r="AN87" s="70"/>
      <c r="AO87" s="70"/>
      <c r="AP87" s="70"/>
      <c r="AQ87" s="70"/>
      <c r="AW87" s="72"/>
    </row>
    <row r="88" spans="1:49" s="71" customFormat="1" hidden="1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8"/>
      <c r="AG88" s="69"/>
      <c r="AH88" s="69"/>
      <c r="AI88" s="69"/>
      <c r="AJ88" s="69"/>
      <c r="AK88" s="69"/>
      <c r="AL88" s="69"/>
      <c r="AM88" s="69"/>
      <c r="AN88" s="70"/>
      <c r="AO88" s="70"/>
      <c r="AP88" s="70"/>
      <c r="AQ88" s="70"/>
      <c r="AT88" s="72"/>
    </row>
    <row r="89" spans="1:49" s="55" customFormat="1" hidden="1" x14ac:dyDescent="0.25">
      <c r="A89" s="151" t="str">
        <f>IF($AK10=1,"Pool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Pool Tiereaker : 1) Matches Won vs Lost (if 3 way tie then #4)  2) Head to Head  3) Game Win %  4) Total Pool Net Points  5) Flip a Coin</v>
      </c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2"/>
      <c r="AO89" s="152"/>
      <c r="AP89" s="152"/>
      <c r="AQ89" s="152"/>
    </row>
    <row r="90" spans="1:49" s="55" customFormat="1" ht="13.8" thickBot="1" x14ac:dyDescent="0.3">
      <c r="A90" s="153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</row>
    <row r="91" spans="1:49" ht="24" customHeight="1" thickBot="1" x14ac:dyDescent="0.3">
      <c r="A91" s="21" t="s">
        <v>26</v>
      </c>
      <c r="B91" s="22" t="s">
        <v>99</v>
      </c>
      <c r="C91" s="230" t="s">
        <v>28</v>
      </c>
      <c r="D91" s="231"/>
      <c r="E91" s="231"/>
      <c r="F91" s="231"/>
      <c r="G91" s="231"/>
      <c r="H91" s="232"/>
      <c r="I91" s="233">
        <v>2</v>
      </c>
      <c r="J91" s="234"/>
      <c r="K91" s="295" t="str">
        <f>"Pool "&amp;B91&amp;" - Round 1 - Court "&amp;I91</f>
        <v>Pool BB - Round 1 - Court 2</v>
      </c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7"/>
      <c r="AJ91" s="6"/>
      <c r="AK91" s="6"/>
      <c r="AL91" s="6"/>
      <c r="AM91" s="6"/>
      <c r="AN91" s="6"/>
      <c r="AO91" s="6"/>
      <c r="AP91" s="6"/>
      <c r="AQ91" s="6"/>
    </row>
    <row r="92" spans="1:49" ht="27" customHeight="1" thickBot="1" x14ac:dyDescent="0.3">
      <c r="A92" s="23" t="s">
        <v>31</v>
      </c>
      <c r="B92" s="238" t="s">
        <v>8</v>
      </c>
      <c r="C92" s="239"/>
      <c r="D92" s="239"/>
      <c r="E92" s="239"/>
      <c r="F92" s="239"/>
      <c r="G92" s="239"/>
      <c r="H92" s="239"/>
      <c r="I92" s="239"/>
      <c r="J92" s="239"/>
      <c r="K92" s="239"/>
      <c r="L92" s="238" t="str">
        <f>IF($AK95=0,"Games Won","Matches Won")</f>
        <v>Matches Won</v>
      </c>
      <c r="M92" s="239"/>
      <c r="N92" s="239"/>
      <c r="O92" s="239"/>
      <c r="P92" s="239"/>
      <c r="Q92" s="240"/>
      <c r="R92" s="238" t="str">
        <f>IF($AK95=0,"Games Lost","Matches Lost")</f>
        <v>Matches Lost</v>
      </c>
      <c r="S92" s="241"/>
      <c r="T92" s="241"/>
      <c r="U92" s="241"/>
      <c r="V92" s="242"/>
      <c r="W92" s="243" t="s">
        <v>32</v>
      </c>
      <c r="X92" s="244"/>
      <c r="Y92" s="245"/>
      <c r="Z92" s="243" t="s">
        <v>33</v>
      </c>
      <c r="AA92" s="244"/>
      <c r="AB92" s="245"/>
      <c r="AC92" s="246" t="s">
        <v>34</v>
      </c>
      <c r="AD92" s="247"/>
      <c r="AE92" s="248"/>
      <c r="AF92" s="24" t="s">
        <v>35</v>
      </c>
      <c r="AG92" s="25" t="s">
        <v>7</v>
      </c>
      <c r="AH92" s="228" t="s">
        <v>36</v>
      </c>
      <c r="AI92" s="229"/>
      <c r="AJ92" s="26"/>
      <c r="AK92" s="27">
        <v>1</v>
      </c>
      <c r="AL92" s="28" t="s">
        <v>37</v>
      </c>
      <c r="AM92" s="28"/>
      <c r="AN92" s="28"/>
      <c r="AO92" s="28"/>
      <c r="AP92" s="28"/>
      <c r="AQ92" s="28"/>
      <c r="AR92" s="29"/>
    </row>
    <row r="93" spans="1:49" ht="18.75" customHeight="1" x14ac:dyDescent="0.25">
      <c r="A93" s="194" t="str">
        <f>IF($AK94&gt;0,"1","")</f>
        <v>1</v>
      </c>
      <c r="B93" s="225" t="s">
        <v>8</v>
      </c>
      <c r="C93" s="226"/>
      <c r="D93" s="227"/>
      <c r="E93" s="217" t="str">
        <f>AU4</f>
        <v>Kershaw Dev 12 Blue</v>
      </c>
      <c r="F93" s="218"/>
      <c r="G93" s="218"/>
      <c r="H93" s="218"/>
      <c r="I93" s="218"/>
      <c r="J93" s="218"/>
      <c r="K93" s="219"/>
      <c r="L93" s="201">
        <f>IF($AK95=0,AF149,AF131)</f>
        <v>2</v>
      </c>
      <c r="M93" s="202"/>
      <c r="N93" s="202"/>
      <c r="O93" s="202"/>
      <c r="P93" s="202"/>
      <c r="Q93" s="240"/>
      <c r="R93" s="201">
        <f>IF($AK95=0,AG149,AG131)</f>
        <v>1</v>
      </c>
      <c r="S93" s="202"/>
      <c r="T93" s="202"/>
      <c r="U93" s="202"/>
      <c r="V93" s="202"/>
      <c r="W93" s="201">
        <f>AQ109</f>
        <v>8</v>
      </c>
      <c r="X93" s="202"/>
      <c r="Y93" s="202"/>
      <c r="Z93" s="174">
        <f>IF(AF143&gt;0,(AQ109/AF143),0)</f>
        <v>9.1954022988505746E-2</v>
      </c>
      <c r="AA93" s="175"/>
      <c r="AB93" s="175"/>
      <c r="AC93" s="178">
        <f>IF(AF157=0,0,(AF149/AF157))</f>
        <v>0.66666666666666663</v>
      </c>
      <c r="AD93" s="179"/>
      <c r="AE93" s="180"/>
      <c r="AF93" s="184">
        <v>2</v>
      </c>
      <c r="AG93" s="184">
        <v>1</v>
      </c>
      <c r="AH93" s="186">
        <v>6</v>
      </c>
      <c r="AI93" s="187"/>
      <c r="AJ93" s="26"/>
      <c r="AK93" s="27">
        <v>6</v>
      </c>
      <c r="AL93" s="28" t="s">
        <v>38</v>
      </c>
      <c r="AM93" s="28"/>
      <c r="AN93" s="28"/>
      <c r="AO93" s="28"/>
      <c r="AP93" s="28"/>
      <c r="AQ93" s="28"/>
      <c r="AR93" s="29"/>
    </row>
    <row r="94" spans="1:49" ht="18.75" customHeight="1" thickBot="1" x14ac:dyDescent="0.3">
      <c r="A94" s="195"/>
      <c r="B94" s="222" t="s">
        <v>9</v>
      </c>
      <c r="C94" s="223"/>
      <c r="D94" s="224"/>
      <c r="E94" s="215" t="str">
        <f>AV4</f>
        <v>FJ2KERSH5PM</v>
      </c>
      <c r="F94" s="216"/>
      <c r="G94" s="216"/>
      <c r="H94" s="216"/>
      <c r="I94" s="216"/>
      <c r="J94" s="216"/>
      <c r="K94" s="216"/>
      <c r="L94" s="220"/>
      <c r="M94" s="221"/>
      <c r="N94" s="221"/>
      <c r="O94" s="221"/>
      <c r="P94" s="221"/>
      <c r="Q94" s="240"/>
      <c r="R94" s="220"/>
      <c r="S94" s="221"/>
      <c r="T94" s="221"/>
      <c r="U94" s="221"/>
      <c r="V94" s="221"/>
      <c r="W94" s="220"/>
      <c r="X94" s="221"/>
      <c r="Y94" s="221"/>
      <c r="Z94" s="205"/>
      <c r="AA94" s="206"/>
      <c r="AB94" s="206"/>
      <c r="AC94" s="207"/>
      <c r="AD94" s="208"/>
      <c r="AE94" s="209"/>
      <c r="AF94" s="210"/>
      <c r="AG94" s="210"/>
      <c r="AH94" s="211"/>
      <c r="AI94" s="212"/>
      <c r="AJ94" s="26"/>
      <c r="AK94" s="27">
        <v>4</v>
      </c>
      <c r="AL94" s="28" t="s">
        <v>39</v>
      </c>
      <c r="AM94" s="26"/>
      <c r="AN94" s="26"/>
      <c r="AO94" s="26"/>
      <c r="AP94" s="26"/>
      <c r="AQ94" s="26"/>
      <c r="AR94" s="3"/>
    </row>
    <row r="95" spans="1:49" ht="18.75" customHeight="1" x14ac:dyDescent="0.25">
      <c r="A95" s="194" t="str">
        <f>IF($AK94&gt;1,"2","")</f>
        <v>2</v>
      </c>
      <c r="B95" s="225" t="s">
        <v>8</v>
      </c>
      <c r="C95" s="226"/>
      <c r="D95" s="227"/>
      <c r="E95" s="217" t="str">
        <f>AU5</f>
        <v>BVA 11</v>
      </c>
      <c r="F95" s="218"/>
      <c r="G95" s="218"/>
      <c r="H95" s="218"/>
      <c r="I95" s="218"/>
      <c r="J95" s="218"/>
      <c r="K95" s="219"/>
      <c r="L95" s="201">
        <f>IF($AK95=0,AF150,AF132)</f>
        <v>2</v>
      </c>
      <c r="M95" s="202"/>
      <c r="N95" s="202"/>
      <c r="O95" s="202"/>
      <c r="P95" s="202"/>
      <c r="Q95" s="240"/>
      <c r="R95" s="201">
        <f>IF($AK95=0,AG150,AG132)</f>
        <v>1</v>
      </c>
      <c r="S95" s="202"/>
      <c r="T95" s="202"/>
      <c r="U95" s="202"/>
      <c r="V95" s="202"/>
      <c r="W95" s="201">
        <f>AQ110</f>
        <v>1</v>
      </c>
      <c r="X95" s="202"/>
      <c r="Y95" s="202"/>
      <c r="Z95" s="174">
        <f>IF(AF144&gt;0,(AQ110/AF144),0)</f>
        <v>1.1494252873563218E-2</v>
      </c>
      <c r="AA95" s="175"/>
      <c r="AB95" s="175"/>
      <c r="AC95" s="178">
        <f>IF(AF158=0,0,(AF150/AF158))</f>
        <v>0.66666666666666663</v>
      </c>
      <c r="AD95" s="179"/>
      <c r="AE95" s="180"/>
      <c r="AF95" s="184">
        <v>3</v>
      </c>
      <c r="AG95" s="184">
        <v>1</v>
      </c>
      <c r="AH95" s="186">
        <v>4</v>
      </c>
      <c r="AI95" s="187"/>
      <c r="AJ95" s="26"/>
      <c r="AK95" s="27">
        <v>1</v>
      </c>
      <c r="AL95" s="28" t="s">
        <v>42</v>
      </c>
      <c r="AM95" s="28"/>
      <c r="AN95" s="28"/>
      <c r="AO95" s="28"/>
      <c r="AP95" s="28"/>
      <c r="AQ95" s="28"/>
      <c r="AR95" s="29"/>
    </row>
    <row r="96" spans="1:49" ht="18.75" customHeight="1" thickBot="1" x14ac:dyDescent="0.3">
      <c r="A96" s="195"/>
      <c r="B96" s="213" t="s">
        <v>9</v>
      </c>
      <c r="C96" s="214"/>
      <c r="D96" s="214"/>
      <c r="E96" s="215" t="str">
        <f>AV5</f>
        <v>FJ1BILTM1CR</v>
      </c>
      <c r="F96" s="216"/>
      <c r="G96" s="216"/>
      <c r="H96" s="216"/>
      <c r="I96" s="216"/>
      <c r="J96" s="216"/>
      <c r="K96" s="216"/>
      <c r="L96" s="220"/>
      <c r="M96" s="221"/>
      <c r="N96" s="221"/>
      <c r="O96" s="221"/>
      <c r="P96" s="221"/>
      <c r="Q96" s="240"/>
      <c r="R96" s="220"/>
      <c r="S96" s="221"/>
      <c r="T96" s="221"/>
      <c r="U96" s="221"/>
      <c r="V96" s="221"/>
      <c r="W96" s="220"/>
      <c r="X96" s="221"/>
      <c r="Y96" s="221"/>
      <c r="Z96" s="205"/>
      <c r="AA96" s="206"/>
      <c r="AB96" s="206"/>
      <c r="AC96" s="207"/>
      <c r="AD96" s="208"/>
      <c r="AE96" s="209"/>
      <c r="AF96" s="210"/>
      <c r="AG96" s="210"/>
      <c r="AH96" s="211"/>
      <c r="AI96" s="212"/>
      <c r="AJ96" s="26"/>
      <c r="AK96" s="27">
        <v>1</v>
      </c>
      <c r="AL96" s="28" t="s">
        <v>44</v>
      </c>
      <c r="AM96" s="26"/>
      <c r="AN96" s="26"/>
      <c r="AO96" s="26"/>
      <c r="AP96" s="26"/>
      <c r="AQ96" s="26"/>
      <c r="AR96" s="3"/>
    </row>
    <row r="97" spans="1:44" ht="18.75" customHeight="1" x14ac:dyDescent="0.25">
      <c r="A97" s="194" t="str">
        <f>IF($AK94&gt;2,"3","")</f>
        <v>3</v>
      </c>
      <c r="B97" s="196" t="s">
        <v>8</v>
      </c>
      <c r="C97" s="197"/>
      <c r="D97" s="197"/>
      <c r="E97" s="217" t="str">
        <f>AU8</f>
        <v>USA 12's Purple Carey</v>
      </c>
      <c r="F97" s="218"/>
      <c r="G97" s="218"/>
      <c r="H97" s="218"/>
      <c r="I97" s="218"/>
      <c r="J97" s="218"/>
      <c r="K97" s="219"/>
      <c r="L97" s="201">
        <f>IF($AK95=0,AF151,AF133)</f>
        <v>1</v>
      </c>
      <c r="M97" s="202"/>
      <c r="N97" s="202"/>
      <c r="O97" s="202"/>
      <c r="P97" s="202"/>
      <c r="Q97" s="240"/>
      <c r="R97" s="201">
        <f>IF($AK95=0,AG151,AG133)</f>
        <v>2</v>
      </c>
      <c r="S97" s="202"/>
      <c r="T97" s="202"/>
      <c r="U97" s="202"/>
      <c r="V97" s="202"/>
      <c r="W97" s="201">
        <f>AQ111</f>
        <v>0</v>
      </c>
      <c r="X97" s="202"/>
      <c r="Y97" s="202"/>
      <c r="Z97" s="174">
        <f>IF(AF145&gt;0,(AQ111/AF145),0)</f>
        <v>0</v>
      </c>
      <c r="AA97" s="175"/>
      <c r="AB97" s="175"/>
      <c r="AC97" s="178">
        <f>IF(AF159=0,0,(AF151/AF159))</f>
        <v>0.33333333333333331</v>
      </c>
      <c r="AD97" s="179"/>
      <c r="AE97" s="180"/>
      <c r="AF97" s="184">
        <v>4</v>
      </c>
      <c r="AG97" s="184">
        <v>1</v>
      </c>
      <c r="AH97" s="186">
        <v>5</v>
      </c>
      <c r="AI97" s="187"/>
      <c r="AJ97" s="30"/>
      <c r="AK97" s="27">
        <v>4</v>
      </c>
      <c r="AL97" s="31" t="s">
        <v>45</v>
      </c>
      <c r="AM97" s="28"/>
      <c r="AN97" s="28"/>
      <c r="AO97" s="28"/>
      <c r="AP97" s="28"/>
      <c r="AQ97" s="28"/>
      <c r="AR97" s="29"/>
    </row>
    <row r="98" spans="1:44" ht="18.75" customHeight="1" thickBot="1" x14ac:dyDescent="0.3">
      <c r="A98" s="195"/>
      <c r="B98" s="213" t="s">
        <v>9</v>
      </c>
      <c r="C98" s="214"/>
      <c r="D98" s="214"/>
      <c r="E98" s="215" t="str">
        <f>AV8</f>
        <v>FJ1UNSEL2CR</v>
      </c>
      <c r="F98" s="216"/>
      <c r="G98" s="216"/>
      <c r="H98" s="216"/>
      <c r="I98" s="216"/>
      <c r="J98" s="216"/>
      <c r="K98" s="216"/>
      <c r="L98" s="220"/>
      <c r="M98" s="221"/>
      <c r="N98" s="221"/>
      <c r="O98" s="221"/>
      <c r="P98" s="221"/>
      <c r="Q98" s="240"/>
      <c r="R98" s="220"/>
      <c r="S98" s="221"/>
      <c r="T98" s="221"/>
      <c r="U98" s="221"/>
      <c r="V98" s="221"/>
      <c r="W98" s="220"/>
      <c r="X98" s="221"/>
      <c r="Y98" s="221"/>
      <c r="Z98" s="205"/>
      <c r="AA98" s="206"/>
      <c r="AB98" s="206"/>
      <c r="AC98" s="207"/>
      <c r="AD98" s="208"/>
      <c r="AE98" s="209"/>
      <c r="AF98" s="210"/>
      <c r="AG98" s="210"/>
      <c r="AH98" s="211"/>
      <c r="AI98" s="212"/>
      <c r="AJ98" s="30"/>
      <c r="AK98" s="32"/>
      <c r="AL98" s="33"/>
      <c r="AM98" s="33"/>
      <c r="AN98" s="33"/>
      <c r="AO98" s="33"/>
      <c r="AP98" s="33"/>
      <c r="AQ98" s="26"/>
      <c r="AR98" s="3"/>
    </row>
    <row r="99" spans="1:44" ht="18.75" customHeight="1" x14ac:dyDescent="0.25">
      <c r="A99" s="194" t="str">
        <f>IF($AK94&gt;3,"4","")</f>
        <v>4</v>
      </c>
      <c r="B99" s="196" t="s">
        <v>8</v>
      </c>
      <c r="C99" s="197"/>
      <c r="D99" s="197"/>
      <c r="E99" s="217" t="str">
        <f>AU9</f>
        <v>Kershaw Dev 12 White</v>
      </c>
      <c r="F99" s="218"/>
      <c r="G99" s="218"/>
      <c r="H99" s="218"/>
      <c r="I99" s="218"/>
      <c r="J99" s="218"/>
      <c r="K99" s="219"/>
      <c r="L99" s="201">
        <f>IF($AK95=0,AF152,AF134)</f>
        <v>1</v>
      </c>
      <c r="M99" s="202"/>
      <c r="N99" s="202"/>
      <c r="O99" s="202"/>
      <c r="P99" s="202"/>
      <c r="Q99" s="240"/>
      <c r="R99" s="201">
        <f>IF($AK95=0,AG152,AG134)</f>
        <v>2</v>
      </c>
      <c r="S99" s="202"/>
      <c r="T99" s="202"/>
      <c r="U99" s="202"/>
      <c r="V99" s="202"/>
      <c r="W99" s="201">
        <f>AQ112</f>
        <v>-9</v>
      </c>
      <c r="X99" s="202"/>
      <c r="Y99" s="202"/>
      <c r="Z99" s="174">
        <f>IF(AF146&gt;0,(AQ112/AF146),0)</f>
        <v>-0.10714285714285714</v>
      </c>
      <c r="AA99" s="175"/>
      <c r="AB99" s="175"/>
      <c r="AC99" s="178">
        <f>IF(AF160=0,0,(AF152/AF160))</f>
        <v>0.33333333333333331</v>
      </c>
      <c r="AD99" s="179"/>
      <c r="AE99" s="180"/>
      <c r="AF99" s="184">
        <v>1</v>
      </c>
      <c r="AG99" s="184"/>
      <c r="AH99" s="186"/>
      <c r="AI99" s="187"/>
      <c r="AJ99" s="6"/>
      <c r="AK99" s="33"/>
      <c r="AL99" s="33"/>
      <c r="AM99" s="33"/>
      <c r="AN99" s="33"/>
      <c r="AO99" s="33"/>
      <c r="AP99" s="33"/>
      <c r="AQ99" s="28"/>
      <c r="AR99" s="29"/>
    </row>
    <row r="100" spans="1:44" ht="18.75" customHeight="1" thickBot="1" x14ac:dyDescent="0.3">
      <c r="A100" s="195"/>
      <c r="B100" s="213" t="s">
        <v>9</v>
      </c>
      <c r="C100" s="214"/>
      <c r="D100" s="214"/>
      <c r="E100" s="215" t="str">
        <f>AV9</f>
        <v>FJ2KERSH4PM</v>
      </c>
      <c r="F100" s="216"/>
      <c r="G100" s="216"/>
      <c r="H100" s="216"/>
      <c r="I100" s="216"/>
      <c r="J100" s="216"/>
      <c r="K100" s="216"/>
      <c r="L100" s="220"/>
      <c r="M100" s="221"/>
      <c r="N100" s="221"/>
      <c r="O100" s="221"/>
      <c r="P100" s="221"/>
      <c r="Q100" s="240"/>
      <c r="R100" s="220"/>
      <c r="S100" s="221"/>
      <c r="T100" s="221"/>
      <c r="U100" s="221"/>
      <c r="V100" s="221"/>
      <c r="W100" s="220"/>
      <c r="X100" s="221"/>
      <c r="Y100" s="221"/>
      <c r="Z100" s="205"/>
      <c r="AA100" s="206"/>
      <c r="AB100" s="206"/>
      <c r="AC100" s="207"/>
      <c r="AD100" s="208"/>
      <c r="AE100" s="209"/>
      <c r="AF100" s="210"/>
      <c r="AG100" s="210"/>
      <c r="AH100" s="211"/>
      <c r="AI100" s="212"/>
      <c r="AJ100" s="6"/>
      <c r="AK100" s="33"/>
      <c r="AL100" s="33"/>
      <c r="AM100" s="33"/>
      <c r="AN100" s="33"/>
      <c r="AO100" s="33"/>
      <c r="AP100" s="33"/>
      <c r="AQ100" s="6"/>
      <c r="AR100" s="3"/>
    </row>
    <row r="101" spans="1:44" ht="18.75" customHeight="1" x14ac:dyDescent="0.25">
      <c r="A101" s="194" t="str">
        <f>IF($AK94&gt;4,"5","")</f>
        <v/>
      </c>
      <c r="B101" s="196" t="s">
        <v>8</v>
      </c>
      <c r="C101" s="197"/>
      <c r="D101" s="197"/>
      <c r="E101" s="198" t="e">
        <f>#REF!</f>
        <v>#REF!</v>
      </c>
      <c r="F101" s="199"/>
      <c r="G101" s="199"/>
      <c r="H101" s="199"/>
      <c r="I101" s="199"/>
      <c r="J101" s="199"/>
      <c r="K101" s="200"/>
      <c r="L101" s="201">
        <f>IF($AK95=0,AF153,AF135)</f>
        <v>0</v>
      </c>
      <c r="M101" s="202"/>
      <c r="N101" s="202"/>
      <c r="O101" s="202"/>
      <c r="P101" s="202"/>
      <c r="Q101" s="240"/>
      <c r="R101" s="201">
        <f>IF($AK95=0,AG153,AG135)</f>
        <v>0</v>
      </c>
      <c r="S101" s="202"/>
      <c r="T101" s="202"/>
      <c r="U101" s="202"/>
      <c r="V101" s="202"/>
      <c r="W101" s="201">
        <f>AQ113</f>
        <v>0</v>
      </c>
      <c r="X101" s="202"/>
      <c r="Y101" s="202"/>
      <c r="Z101" s="174">
        <f>IF(AF147&gt;0,(AQ113/AF147),0)</f>
        <v>0</v>
      </c>
      <c r="AA101" s="175"/>
      <c r="AB101" s="175"/>
      <c r="AC101" s="178">
        <f>IF(AF161=0,0,(AF153/AF161))</f>
        <v>0</v>
      </c>
      <c r="AD101" s="179"/>
      <c r="AE101" s="180"/>
      <c r="AF101" s="184"/>
      <c r="AG101" s="184"/>
      <c r="AH101" s="186"/>
      <c r="AI101" s="187"/>
      <c r="AJ101" s="6"/>
      <c r="AK101" s="33"/>
      <c r="AL101" s="33"/>
      <c r="AM101" s="33"/>
      <c r="AN101" s="33"/>
      <c r="AO101" s="33"/>
      <c r="AP101" s="33"/>
      <c r="AQ101" s="6"/>
      <c r="AR101" s="3"/>
    </row>
    <row r="102" spans="1:44" ht="18.75" customHeight="1" thickBot="1" x14ac:dyDescent="0.3">
      <c r="A102" s="195"/>
      <c r="B102" s="190" t="s">
        <v>9</v>
      </c>
      <c r="C102" s="191"/>
      <c r="D102" s="191"/>
      <c r="E102" s="192" t="e">
        <f>#REF!</f>
        <v>#REF!</v>
      </c>
      <c r="F102" s="193"/>
      <c r="G102" s="193"/>
      <c r="H102" s="193"/>
      <c r="I102" s="193"/>
      <c r="J102" s="193"/>
      <c r="K102" s="193"/>
      <c r="L102" s="203"/>
      <c r="M102" s="204"/>
      <c r="N102" s="204"/>
      <c r="O102" s="204"/>
      <c r="P102" s="204"/>
      <c r="Q102" s="240"/>
      <c r="R102" s="203"/>
      <c r="S102" s="204"/>
      <c r="T102" s="204"/>
      <c r="U102" s="204"/>
      <c r="V102" s="204"/>
      <c r="W102" s="203"/>
      <c r="X102" s="204"/>
      <c r="Y102" s="204"/>
      <c r="Z102" s="176"/>
      <c r="AA102" s="177"/>
      <c r="AB102" s="177"/>
      <c r="AC102" s="181"/>
      <c r="AD102" s="182"/>
      <c r="AE102" s="183"/>
      <c r="AF102" s="185"/>
      <c r="AG102" s="185"/>
      <c r="AH102" s="188"/>
      <c r="AI102" s="189"/>
      <c r="AJ102" s="6"/>
      <c r="AK102" s="33"/>
      <c r="AL102" s="33"/>
      <c r="AM102" s="33"/>
      <c r="AN102" s="33"/>
      <c r="AO102" s="33"/>
      <c r="AP102" s="33"/>
      <c r="AQ102" s="6"/>
      <c r="AR102" s="3"/>
    </row>
    <row r="103" spans="1:44" ht="21" customHeight="1" thickTop="1" thickBot="1" x14ac:dyDescent="0.3">
      <c r="A103" s="34"/>
      <c r="B103" s="171" t="s">
        <v>100</v>
      </c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3"/>
      <c r="AJ103" s="6"/>
      <c r="AK103" s="33"/>
      <c r="AL103" s="33"/>
      <c r="AM103" s="33"/>
      <c r="AN103" s="33"/>
      <c r="AO103" s="33"/>
      <c r="AP103" s="33"/>
      <c r="AQ103" s="6"/>
      <c r="AR103" s="3"/>
    </row>
    <row r="104" spans="1:44" ht="13.8" thickTop="1" x14ac:dyDescent="0.25">
      <c r="A104" s="4" t="s">
        <v>47</v>
      </c>
      <c r="B104" s="160">
        <v>0.13541666666666666</v>
      </c>
      <c r="C104" s="161"/>
      <c r="D104" s="162"/>
      <c r="E104" s="160">
        <v>0.16666666666666666</v>
      </c>
      <c r="F104" s="161"/>
      <c r="G104" s="162"/>
      <c r="H104" s="160">
        <v>0.19791666666666666</v>
      </c>
      <c r="I104" s="161"/>
      <c r="J104" s="162"/>
      <c r="K104" s="160"/>
      <c r="L104" s="161"/>
      <c r="M104" s="162"/>
      <c r="N104" s="160"/>
      <c r="O104" s="161"/>
      <c r="P104" s="162"/>
      <c r="Q104" s="160"/>
      <c r="R104" s="161"/>
      <c r="S104" s="162"/>
      <c r="T104" s="160"/>
      <c r="U104" s="161"/>
      <c r="V104" s="162"/>
      <c r="W104" s="160"/>
      <c r="X104" s="161"/>
      <c r="Y104" s="162"/>
      <c r="Z104" s="160"/>
      <c r="AA104" s="161"/>
      <c r="AB104" s="162"/>
      <c r="AC104" s="160"/>
      <c r="AD104" s="161"/>
      <c r="AE104" s="162"/>
      <c r="AF104" s="163" t="s">
        <v>48</v>
      </c>
      <c r="AG104" s="164"/>
      <c r="AH104" s="164"/>
      <c r="AI104" s="164"/>
      <c r="AJ104" s="165"/>
      <c r="AK104" s="165"/>
      <c r="AL104" s="165"/>
      <c r="AM104" s="165"/>
      <c r="AN104" s="165"/>
      <c r="AO104" s="165"/>
      <c r="AP104" s="165"/>
      <c r="AQ104" s="166"/>
    </row>
    <row r="105" spans="1:44" x14ac:dyDescent="0.25">
      <c r="A105" s="35" t="s">
        <v>49</v>
      </c>
      <c r="B105" s="157"/>
      <c r="C105" s="158"/>
      <c r="D105" s="159"/>
      <c r="E105" s="157"/>
      <c r="F105" s="158"/>
      <c r="G105" s="159"/>
      <c r="H105" s="157"/>
      <c r="I105" s="158"/>
      <c r="J105" s="159"/>
      <c r="K105" s="157"/>
      <c r="L105" s="158"/>
      <c r="M105" s="159"/>
      <c r="N105" s="157"/>
      <c r="O105" s="158"/>
      <c r="P105" s="159"/>
      <c r="Q105" s="157"/>
      <c r="R105" s="158"/>
      <c r="S105" s="159"/>
      <c r="T105" s="157"/>
      <c r="U105" s="158"/>
      <c r="V105" s="159"/>
      <c r="W105" s="157"/>
      <c r="X105" s="158"/>
      <c r="Y105" s="159"/>
      <c r="Z105" s="157"/>
      <c r="AA105" s="158"/>
      <c r="AB105" s="159"/>
      <c r="AC105" s="157"/>
      <c r="AD105" s="158"/>
      <c r="AE105" s="159"/>
      <c r="AF105" s="163"/>
      <c r="AG105" s="164"/>
      <c r="AH105" s="164"/>
      <c r="AI105" s="164"/>
      <c r="AJ105" s="164"/>
      <c r="AK105" s="164"/>
      <c r="AL105" s="164"/>
      <c r="AM105" s="164"/>
      <c r="AN105" s="164"/>
      <c r="AO105" s="164"/>
      <c r="AP105" s="164"/>
      <c r="AQ105" s="167"/>
    </row>
    <row r="106" spans="1:44" x14ac:dyDescent="0.25">
      <c r="A106" s="35" t="s">
        <v>50</v>
      </c>
      <c r="B106" s="157"/>
      <c r="C106" s="158"/>
      <c r="D106" s="159"/>
      <c r="E106" s="157"/>
      <c r="F106" s="158"/>
      <c r="G106" s="159"/>
      <c r="H106" s="157"/>
      <c r="I106" s="158"/>
      <c r="J106" s="159"/>
      <c r="K106" s="157"/>
      <c r="L106" s="158"/>
      <c r="M106" s="159"/>
      <c r="N106" s="157"/>
      <c r="O106" s="158"/>
      <c r="P106" s="159"/>
      <c r="Q106" s="157"/>
      <c r="R106" s="158"/>
      <c r="S106" s="159"/>
      <c r="T106" s="157"/>
      <c r="U106" s="158"/>
      <c r="V106" s="159"/>
      <c r="W106" s="157"/>
      <c r="X106" s="158"/>
      <c r="Y106" s="159"/>
      <c r="Z106" s="157"/>
      <c r="AA106" s="158"/>
      <c r="AB106" s="159"/>
      <c r="AC106" s="157"/>
      <c r="AD106" s="158"/>
      <c r="AE106" s="159"/>
      <c r="AF106" s="163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7"/>
    </row>
    <row r="107" spans="1:44" ht="13.8" thickBot="1" x14ac:dyDescent="0.3">
      <c r="A107" s="6"/>
      <c r="B107" s="154" t="s">
        <v>51</v>
      </c>
      <c r="C107" s="155"/>
      <c r="D107" s="156"/>
      <c r="E107" s="154" t="str">
        <f>IF(AK93&gt;1,"Match 2","")</f>
        <v>Match 2</v>
      </c>
      <c r="F107" s="155"/>
      <c r="G107" s="156"/>
      <c r="H107" s="154" t="str">
        <f>IF(AK93&gt;2,"Match 3","")</f>
        <v>Match 3</v>
      </c>
      <c r="I107" s="155"/>
      <c r="J107" s="156"/>
      <c r="K107" s="154" t="str">
        <f>IF(AK93&gt;3,"Match 4","")</f>
        <v>Match 4</v>
      </c>
      <c r="L107" s="155"/>
      <c r="M107" s="156"/>
      <c r="N107" s="154" t="str">
        <f>IF(AK93&gt;4,"Match 5","")</f>
        <v>Match 5</v>
      </c>
      <c r="O107" s="155"/>
      <c r="P107" s="156"/>
      <c r="Q107" s="154" t="str">
        <f>IF(AK93&gt;5,"Match 6","")</f>
        <v>Match 6</v>
      </c>
      <c r="R107" s="155"/>
      <c r="S107" s="156"/>
      <c r="T107" s="154" t="str">
        <f>IF(AK93&gt;6,"Match 7","")</f>
        <v/>
      </c>
      <c r="U107" s="155"/>
      <c r="V107" s="156"/>
      <c r="W107" s="154" t="str">
        <f>IF(AK93&gt;7,"Match 8","")</f>
        <v/>
      </c>
      <c r="X107" s="155"/>
      <c r="Y107" s="156"/>
      <c r="Z107" s="154" t="str">
        <f>IF(AK93&gt;8,"Match 9","")</f>
        <v/>
      </c>
      <c r="AA107" s="155"/>
      <c r="AB107" s="156"/>
      <c r="AC107" s="154" t="str">
        <f>IF(AK93&gt;9,"Match 10","")</f>
        <v/>
      </c>
      <c r="AD107" s="155"/>
      <c r="AE107" s="156"/>
      <c r="AF107" s="168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70"/>
    </row>
    <row r="108" spans="1:44" ht="15.6" x14ac:dyDescent="0.3">
      <c r="A108" s="6"/>
      <c r="B108" s="147" t="s">
        <v>53</v>
      </c>
      <c r="C108" s="148"/>
      <c r="D108" s="149"/>
      <c r="E108" s="147" t="s">
        <v>52</v>
      </c>
      <c r="F108" s="148"/>
      <c r="G108" s="149"/>
      <c r="H108" s="147" t="s">
        <v>54</v>
      </c>
      <c r="I108" s="148"/>
      <c r="J108" s="149"/>
      <c r="K108" s="147" t="s">
        <v>55</v>
      </c>
      <c r="L108" s="148"/>
      <c r="M108" s="149"/>
      <c r="N108" s="147" t="s">
        <v>52</v>
      </c>
      <c r="O108" s="148"/>
      <c r="P108" s="149"/>
      <c r="Q108" s="147" t="s">
        <v>54</v>
      </c>
      <c r="R108" s="148"/>
      <c r="S108" s="149"/>
      <c r="T108" s="147"/>
      <c r="U108" s="148"/>
      <c r="V108" s="149"/>
      <c r="W108" s="147"/>
      <c r="X108" s="148"/>
      <c r="Y108" s="149"/>
      <c r="Z108" s="147"/>
      <c r="AA108" s="148"/>
      <c r="AB108" s="149"/>
      <c r="AC108" s="147"/>
      <c r="AD108" s="148"/>
      <c r="AE108" s="149"/>
      <c r="AF108" s="36" t="s">
        <v>56</v>
      </c>
      <c r="AG108" s="37">
        <v>1</v>
      </c>
      <c r="AH108" s="37">
        <v>2</v>
      </c>
      <c r="AI108" s="37">
        <v>3</v>
      </c>
      <c r="AJ108" s="37">
        <v>4</v>
      </c>
      <c r="AK108" s="37">
        <v>5</v>
      </c>
      <c r="AL108" s="37">
        <v>6</v>
      </c>
      <c r="AM108" s="37">
        <v>7</v>
      </c>
      <c r="AN108" s="37">
        <v>8</v>
      </c>
      <c r="AO108" s="37">
        <v>9</v>
      </c>
      <c r="AP108" s="37">
        <v>10</v>
      </c>
      <c r="AQ108" s="38" t="s">
        <v>57</v>
      </c>
    </row>
    <row r="109" spans="1:44" ht="15.6" x14ac:dyDescent="0.3">
      <c r="A109" s="6"/>
      <c r="B109" s="39">
        <v>2</v>
      </c>
      <c r="C109" s="40" t="s">
        <v>58</v>
      </c>
      <c r="D109" s="41">
        <v>3</v>
      </c>
      <c r="E109" s="39">
        <v>1</v>
      </c>
      <c r="F109" s="40" t="str">
        <f>IF(AK93&gt;1,"v","")</f>
        <v>v</v>
      </c>
      <c r="G109" s="41">
        <v>4</v>
      </c>
      <c r="H109" s="39">
        <v>2</v>
      </c>
      <c r="I109" s="40" t="str">
        <f>IF(AK93&gt;2,"v","")</f>
        <v>v</v>
      </c>
      <c r="J109" s="41">
        <v>4</v>
      </c>
      <c r="K109" s="39">
        <v>1</v>
      </c>
      <c r="L109" s="40" t="str">
        <f>IF(AK93&gt;3,"v","")</f>
        <v>v</v>
      </c>
      <c r="M109" s="41">
        <v>3</v>
      </c>
      <c r="N109" s="39">
        <v>3</v>
      </c>
      <c r="O109" s="40" t="str">
        <f>IF(AK93&gt;4,"v","")</f>
        <v>v</v>
      </c>
      <c r="P109" s="41">
        <v>4</v>
      </c>
      <c r="Q109" s="39">
        <v>1</v>
      </c>
      <c r="R109" s="40" t="str">
        <f>IF(AK93&gt;5,"v","")</f>
        <v>v</v>
      </c>
      <c r="S109" s="41">
        <v>2</v>
      </c>
      <c r="T109" s="39"/>
      <c r="U109" s="40" t="str">
        <f>IF(AK93&gt;6,"v","")</f>
        <v/>
      </c>
      <c r="V109" s="41"/>
      <c r="W109" s="39"/>
      <c r="X109" s="40" t="str">
        <f>IF(AK93&gt;7,"v","")</f>
        <v/>
      </c>
      <c r="Y109" s="41"/>
      <c r="Z109" s="39"/>
      <c r="AA109" s="40" t="str">
        <f>IF(AK93&gt;8,"v","")</f>
        <v/>
      </c>
      <c r="AB109" s="41"/>
      <c r="AC109" s="39"/>
      <c r="AD109" s="40" t="str">
        <f>IF(AK93&gt;9,"v","")</f>
        <v/>
      </c>
      <c r="AE109" s="41"/>
      <c r="AF109" s="36" t="str">
        <f>IF(AK94&gt;0,"Team 1","")</f>
        <v>Team 1</v>
      </c>
      <c r="AG109" s="42" t="str">
        <f>IF(AK94&lt;1,"",IF(AK93&lt;1,"",IF(B109=1,B115-D115,IF(D109=1,D115-B115,""))))</f>
        <v/>
      </c>
      <c r="AH109" s="42">
        <f>IF(AK94&lt;1,"",IF(AK93&lt;2,"",IF(E109=1,E115-G115,IF(G109=1,G115-E115,""))))</f>
        <v>3</v>
      </c>
      <c r="AI109" s="42" t="str">
        <f>IF(AK94&lt;1,"",IF(AK93&lt;3,"",IF(H109=1,H115-J115,IF(J109=1,J115-H115,""))))</f>
        <v/>
      </c>
      <c r="AJ109" s="42">
        <f>IF(AK94&lt;1,"",IF(AK93&lt;4,"",IF(K109=1,K115-M115,IF(M109=1,M115-K115,""))))</f>
        <v>-2</v>
      </c>
      <c r="AK109" s="42" t="str">
        <f>IF(AK94&lt;1,"",IF(AK93&lt;5,"",IF(N109=1,N115-P115,IF(P109=1,P115-N115,""))))</f>
        <v/>
      </c>
      <c r="AL109" s="42">
        <f>IF(AK94&lt;1,"",IF(AK93&lt;6,"",IF(Q109=1,Q115-S115,IF(S109=1,S115-Q115,""))))</f>
        <v>7</v>
      </c>
      <c r="AM109" s="42" t="str">
        <f>IF(AK94&lt;1,"",IF(AK93&lt;7,"",IF(T109=1,T115-V115,IF(V109=1,V115-T115,""))))</f>
        <v/>
      </c>
      <c r="AN109" s="42" t="str">
        <f>IF(AK94&lt;1,"",IF(AK93&lt;8,"",IF(W109=1,W115-Y115,IF(Y109=1,Y115-W115,""))))</f>
        <v/>
      </c>
      <c r="AO109" s="42" t="str">
        <f>IF(AK94&lt;1,"",IF(AK93&lt;9,"",IF(Z109=1,Z115-AB115,IF(AB109=1,AB115-Z115,""))))</f>
        <v/>
      </c>
      <c r="AP109" s="42" t="str">
        <f>IF(AK94&lt;1,"",IF(AK93&lt;10,"",IF(AC109=1,AC115-AE115,IF(AE109=1,AE115-AC115,""))))</f>
        <v/>
      </c>
      <c r="AQ109" s="38">
        <f>SUM(AG109:AP109)</f>
        <v>8</v>
      </c>
    </row>
    <row r="110" spans="1:44" ht="15" x14ac:dyDescent="0.25">
      <c r="A110" s="4" t="s">
        <v>59</v>
      </c>
      <c r="B110" s="43">
        <v>27</v>
      </c>
      <c r="C110" s="44" t="s">
        <v>60</v>
      </c>
      <c r="D110" s="45">
        <v>26</v>
      </c>
      <c r="E110" s="43">
        <v>30</v>
      </c>
      <c r="F110" s="44" t="str">
        <f>IF(AK93&gt;1,"/","")</f>
        <v>/</v>
      </c>
      <c r="G110" s="45">
        <v>27</v>
      </c>
      <c r="H110" s="43">
        <v>30</v>
      </c>
      <c r="I110" s="44" t="str">
        <f>IF(AK93&gt;2,"/","")</f>
        <v>/</v>
      </c>
      <c r="J110" s="45">
        <v>23</v>
      </c>
      <c r="K110" s="43">
        <v>25</v>
      </c>
      <c r="L110" s="44" t="str">
        <f>IF(AK93&gt;3,"/","")</f>
        <v>/</v>
      </c>
      <c r="M110" s="45">
        <v>27</v>
      </c>
      <c r="N110" s="43">
        <v>23</v>
      </c>
      <c r="O110" s="44" t="str">
        <f>IF(AK93&gt;4,"/","")</f>
        <v>/</v>
      </c>
      <c r="P110" s="45">
        <v>24</v>
      </c>
      <c r="Q110" s="43">
        <v>30</v>
      </c>
      <c r="R110" s="44" t="str">
        <f>IF(AK93&gt;5,"/","")</f>
        <v>/</v>
      </c>
      <c r="S110" s="45">
        <v>23</v>
      </c>
      <c r="T110" s="43"/>
      <c r="U110" s="44" t="str">
        <f>IF(AK93&gt;6,"/","")</f>
        <v/>
      </c>
      <c r="V110" s="45"/>
      <c r="W110" s="43"/>
      <c r="X110" s="44" t="str">
        <f>IF(AK93&gt;7,"/","")</f>
        <v/>
      </c>
      <c r="Y110" s="45"/>
      <c r="Z110" s="43"/>
      <c r="AA110" s="44" t="str">
        <f>IF(AK93&gt;8,"/","")</f>
        <v/>
      </c>
      <c r="AB110" s="45"/>
      <c r="AC110" s="43"/>
      <c r="AD110" s="44" t="str">
        <f>IF(AK93&gt;9,"/","")</f>
        <v/>
      </c>
      <c r="AE110" s="45"/>
      <c r="AF110" s="36" t="str">
        <f>IF(AK94&gt;1,"Team 2","")</f>
        <v>Team 2</v>
      </c>
      <c r="AG110" s="42">
        <f>IF(AK94&lt;2,"",IF(AK93&lt;1,"",IF(B109=2,B115-D115,IF(D109=2,D115-B115,""))))</f>
        <v>1</v>
      </c>
      <c r="AH110" s="42" t="str">
        <f>IF(AK94&lt;2,"",IF(AK93&lt;2,"",IF(E109=2,E115-G115,IF(G109=2,G115-E115,""))))</f>
        <v/>
      </c>
      <c r="AI110" s="42">
        <f>IF(AK94&lt;2,"",IF(AK93&lt;3,"",IF(H109=2,H115-J115,IF(J109=2,J115-H115,""))))</f>
        <v>7</v>
      </c>
      <c r="AJ110" s="42" t="str">
        <f>IF(AK94&lt;2,"",IF(AK93&lt;4,"",IF(K109=2,K115-M115,IF(M109=2,M115-K115,""))))</f>
        <v/>
      </c>
      <c r="AK110" s="42" t="str">
        <f>IF(AK94&lt;2,"",IF(AK93&lt;5,"",IF(N109=2,N115-P115,IF(P109=2,P115-N115,""))))</f>
        <v/>
      </c>
      <c r="AL110" s="42">
        <f>IF(AK94&lt;2,"",IF(AK93&lt;6,"",IF(Q109=2,Q115-S115,IF(S109=2,S115-Q115,""))))</f>
        <v>-7</v>
      </c>
      <c r="AM110" s="42" t="str">
        <f>IF(AK94&lt;2,"",IF(AK93&lt;7,"",IF(T109=2,T115-V115,IF(V109=2,V115-T115,""))))</f>
        <v/>
      </c>
      <c r="AN110" s="42" t="str">
        <f>IF(AK94&lt;2,"",IF(AK93&lt;8,"",IF(W109=2,W115-Y115,IF(Y109=2,Y115-W115,""))))</f>
        <v/>
      </c>
      <c r="AO110" s="42" t="str">
        <f>IF(AK94&lt;2,"",IF(AK93&lt;9,"",IF(Z109=2,Z115-AB115,IF(AB109=2,AB115-Z115,""))))</f>
        <v/>
      </c>
      <c r="AP110" s="42" t="str">
        <f>IF(AK94&lt;2,"",IF(AK93&lt;10,"",IF(AC109=2,AC115-AE115,IF(AE109=2,AE115-AC115,""))))</f>
        <v/>
      </c>
      <c r="AQ110" s="38">
        <f>SUM(AG110:AP110)</f>
        <v>1</v>
      </c>
    </row>
    <row r="111" spans="1:44" ht="15" x14ac:dyDescent="0.25">
      <c r="A111" s="3" t="str">
        <f>IF(AK92&gt;1,"Game 2","")</f>
        <v/>
      </c>
      <c r="B111" s="43"/>
      <c r="C111" s="44" t="s">
        <v>60</v>
      </c>
      <c r="D111" s="45"/>
      <c r="E111" s="43"/>
      <c r="F111" s="44" t="str">
        <f>IF(AK93&gt;1,IF(AK92&gt;1,"/",""),"")</f>
        <v/>
      </c>
      <c r="G111" s="45"/>
      <c r="H111" s="43"/>
      <c r="I111" s="44" t="str">
        <f>IF(AK93&gt;2,IF(AK92&gt;1,"/",""),"")</f>
        <v/>
      </c>
      <c r="J111" s="45"/>
      <c r="K111" s="43"/>
      <c r="L111" s="44" t="str">
        <f>IF(AK93&gt;3,IF(AK92&gt;1,"/",""),"")</f>
        <v/>
      </c>
      <c r="M111" s="45"/>
      <c r="N111" s="43"/>
      <c r="O111" s="44" t="str">
        <f>IF(AK93&gt;4,IF(AK92&gt;1,"/",""),"")</f>
        <v/>
      </c>
      <c r="P111" s="45"/>
      <c r="Q111" s="43"/>
      <c r="R111" s="44" t="str">
        <f>IF(AK93&gt;5,IF(AK92&gt;1,"/",""),"")</f>
        <v/>
      </c>
      <c r="S111" s="45"/>
      <c r="T111" s="43"/>
      <c r="U111" s="44" t="str">
        <f>IF(AK93&gt;6,IF(AK92&gt;1,"/",""),"")</f>
        <v/>
      </c>
      <c r="V111" s="45"/>
      <c r="W111" s="43"/>
      <c r="X111" s="44" t="str">
        <f>IF(AK93&gt;7,IF(AK92&gt;1,"/",""),"")</f>
        <v/>
      </c>
      <c r="Y111" s="45"/>
      <c r="Z111" s="43"/>
      <c r="AA111" s="44" t="str">
        <f>IF(AK93&gt;8,IF(AK92&gt;1,"/",""),"")</f>
        <v/>
      </c>
      <c r="AB111" s="45"/>
      <c r="AC111" s="43"/>
      <c r="AD111" s="44" t="str">
        <f>IF(AK93&gt;9,IF(AK92&gt;1,"/",""),"")</f>
        <v/>
      </c>
      <c r="AE111" s="45"/>
      <c r="AF111" s="36" t="str">
        <f>IF(AK94&gt;2,"Team 3","")</f>
        <v>Team 3</v>
      </c>
      <c r="AG111" s="42">
        <f>IF(AK94&lt;3,"",IF(AK93&lt;1,"",IF(B109=3,B115-D115,IF(D109=3,D115-B115,""))))</f>
        <v>-1</v>
      </c>
      <c r="AH111" s="42" t="str">
        <f>IF(AK94&lt;3,"",IF(AK93&lt;2,"",IF(E109=3,E115-G115,IF(G109=3,G115-E115,""))))</f>
        <v/>
      </c>
      <c r="AI111" s="42" t="str">
        <f>IF(AK94&lt;3,"",IF(AK93&lt;3,"",IF(H109=3,H115-J115,IF(J109=3,J115-H115,""))))</f>
        <v/>
      </c>
      <c r="AJ111" s="42">
        <f>IF(AK94&lt;3,"",IF(AK93&lt;4,"",IF(K109=3,K115-M115,IF(M109=3,M115-K115,""))))</f>
        <v>2</v>
      </c>
      <c r="AK111" s="42">
        <f>IF(AK94&lt;3,"",IF(AK93&lt;5,"",IF(N109=3,N115-P115,IF(P109=3,P115-N115,""))))</f>
        <v>-1</v>
      </c>
      <c r="AL111" s="42" t="str">
        <f>IF(AK94&lt;3,"",IF(AK93&lt;6,"",IF(Q109=3,Q115-S115,IF(S109=3,S115-Q115,""))))</f>
        <v/>
      </c>
      <c r="AM111" s="42" t="str">
        <f>IF(AK94&lt;3,"",IF(AK93&lt;7,"",IF(T109=3,T115-V115,IF(V109=3,V115-T115,""))))</f>
        <v/>
      </c>
      <c r="AN111" s="42" t="str">
        <f>IF(AK94&lt;3,"",IF(AK93&lt;8,"",IF(W109=3,W115-Y115,IF(Y109=3,Y115-W115,""))))</f>
        <v/>
      </c>
      <c r="AO111" s="42" t="str">
        <f>IF(AK94&lt;3,"",IF(AK93&lt;9,"",IF(Z109=3,Z115-AB115,IF(AB109=3,AB115-Z115,""))))</f>
        <v/>
      </c>
      <c r="AP111" s="42" t="str">
        <f>IF(AK94&lt;3,"",IF(AK93&lt;9,"",IF(AC109=3,AC115-AE115,IF(AE109=3,AE115-AC115,""))))</f>
        <v/>
      </c>
      <c r="AQ111" s="38">
        <f>SUM(AG111:AP111)</f>
        <v>0</v>
      </c>
    </row>
    <row r="112" spans="1:44" ht="15" x14ac:dyDescent="0.25">
      <c r="A112" s="3" t="str">
        <f>IF(AK92&gt;2,"Game 3","")</f>
        <v/>
      </c>
      <c r="B112" s="43"/>
      <c r="C112" s="44" t="s">
        <v>60</v>
      </c>
      <c r="D112" s="45"/>
      <c r="E112" s="43"/>
      <c r="F112" s="44" t="str">
        <f>IF(AK93&gt;1,IF(AK92&gt;2,"/",""),"")</f>
        <v/>
      </c>
      <c r="G112" s="45"/>
      <c r="H112" s="43"/>
      <c r="I112" s="44" t="str">
        <f>IF(AK93&gt;2,IF(AK92&gt;2,"/",""),"")</f>
        <v/>
      </c>
      <c r="J112" s="45"/>
      <c r="K112" s="43"/>
      <c r="L112" s="44" t="str">
        <f>IF(AK93&gt;3,IF(AK92&gt;2,"/",""),"")</f>
        <v/>
      </c>
      <c r="M112" s="45"/>
      <c r="N112" s="43"/>
      <c r="O112" s="44" t="str">
        <f>IF(AK93&gt;4,IF(AK92&gt;2,"/",""),"")</f>
        <v/>
      </c>
      <c r="P112" s="45"/>
      <c r="Q112" s="43"/>
      <c r="R112" s="44" t="str">
        <f>IF(AK93&gt;5,IF(AK92&gt;2,"/",""),"")</f>
        <v/>
      </c>
      <c r="S112" s="45"/>
      <c r="T112" s="43"/>
      <c r="U112" s="44" t="str">
        <f>IF(AK93&gt;6,IF(AK92&gt;2,"/",""),"")</f>
        <v/>
      </c>
      <c r="V112" s="45"/>
      <c r="W112" s="43"/>
      <c r="X112" s="44" t="str">
        <f>IF(AK93&gt;7,IF(AK92&gt;2,"/",""),"")</f>
        <v/>
      </c>
      <c r="Y112" s="45"/>
      <c r="Z112" s="43"/>
      <c r="AA112" s="44" t="str">
        <f>IF(AK93&gt;8,IF(AK92&gt;2,"/",""),"")</f>
        <v/>
      </c>
      <c r="AB112" s="45"/>
      <c r="AC112" s="43"/>
      <c r="AD112" s="44" t="str">
        <f>IF(AK93&gt;9,IF(AK92&gt;2,"/",""),"")</f>
        <v/>
      </c>
      <c r="AE112" s="45"/>
      <c r="AF112" s="36" t="str">
        <f>IF(AK94&gt;3,"Team 4","")</f>
        <v>Team 4</v>
      </c>
      <c r="AG112" s="42" t="str">
        <f>IF(AK94&lt;4,"",IF(AK93&lt;1,"",IF(B109=4,B115-D115,IF(D109=4,D115-B115,""))))</f>
        <v/>
      </c>
      <c r="AH112" s="42">
        <f>IF(AK94&lt;4,"",IF(AK93&lt;2,"",IF(E109=4,E115-G115,IF(G109=4,G115-E115,""))))</f>
        <v>-3</v>
      </c>
      <c r="AI112" s="42">
        <f>IF(AK94&lt;4,"",IF(AK93&lt;3,"",IF(H109=4,H115-J115,IF(J109=4,J115-H115,""))))</f>
        <v>-7</v>
      </c>
      <c r="AJ112" s="42" t="str">
        <f>IF(AK94&lt;4,"",IF(AK93&lt;4,"",IF(K109=4,K115-M115,IF(M109=4,M115-K115,""))))</f>
        <v/>
      </c>
      <c r="AK112" s="42">
        <f>IF(AK94&lt;4,"",IF(AK93&lt;5,"",IF(N109=4,N115-P115,IF(P109=4,P115-N115,""))))</f>
        <v>1</v>
      </c>
      <c r="AL112" s="42" t="str">
        <f>IF(AK94&lt;4,"",IF(AK93&lt;6,"",IF(Q109=4,Q115-S115,IF(S109=4,S115-Q115,""))))</f>
        <v/>
      </c>
      <c r="AM112" s="42" t="str">
        <f>IF(AK94&lt;4,"",IF(AK93&lt;7,"",IF(T109=4,T115-V115,IF(V109=4,V115-T115,""))))</f>
        <v/>
      </c>
      <c r="AN112" s="42" t="str">
        <f>IF(AK94&lt;4,"",IF(AK93&lt;8,"",IF(W109=4,W115-Y115,IF(Y109=4,Y115-W115,""))))</f>
        <v/>
      </c>
      <c r="AO112" s="42" t="str">
        <f>IF(AK94&lt;4,"",IF(AK93&lt;9,"",IF(Z109=4,Z115-AB115,IF(AB109=4,AB115-Z115,""))))</f>
        <v/>
      </c>
      <c r="AP112" s="42" t="str">
        <f>IF(AK94&lt;4,"",IF(AK93&lt;10,"",IF(AC109=4,AC115-AE115,IF(AE109=4,AE115-AC115,""))))</f>
        <v/>
      </c>
      <c r="AQ112" s="38">
        <f>SUM(AG112:AP112)</f>
        <v>-9</v>
      </c>
    </row>
    <row r="113" spans="1:43" ht="15" x14ac:dyDescent="0.25">
      <c r="A113" s="3" t="str">
        <f>IF(AK92&gt;3,"Game 4","")</f>
        <v/>
      </c>
      <c r="B113" s="43"/>
      <c r="C113" s="44" t="s">
        <v>60</v>
      </c>
      <c r="D113" s="45"/>
      <c r="E113" s="43"/>
      <c r="F113" s="44" t="str">
        <f>IF(AK93&gt;1,IF(AK92&gt;3,"/",""),"")</f>
        <v/>
      </c>
      <c r="G113" s="45"/>
      <c r="H113" s="43"/>
      <c r="I113" s="44" t="str">
        <f>IF(AK93&gt;2,IF(AK92&gt;3,"/",""),"")</f>
        <v/>
      </c>
      <c r="J113" s="45"/>
      <c r="K113" s="43"/>
      <c r="L113" s="44" t="str">
        <f>IF(AK93&gt;3,IF(AK92&gt;3,"/",""),"")</f>
        <v/>
      </c>
      <c r="M113" s="45"/>
      <c r="N113" s="43"/>
      <c r="O113" s="44" t="str">
        <f>IF(AK93&gt;4,IF(AK92&gt;3,"/",""),"")</f>
        <v/>
      </c>
      <c r="P113" s="45"/>
      <c r="Q113" s="43"/>
      <c r="R113" s="44" t="str">
        <f>IF(AK93&gt;5,IF(AK92&gt;3,"/",""),"")</f>
        <v/>
      </c>
      <c r="S113" s="45"/>
      <c r="T113" s="43"/>
      <c r="U113" s="44" t="str">
        <f>IF(AK93&gt;6,IF(AK92&gt;3,"/",""),"")</f>
        <v/>
      </c>
      <c r="V113" s="45"/>
      <c r="W113" s="43"/>
      <c r="X113" s="44" t="str">
        <f>IF(AK93&gt;7,IF(AK92&gt;3,"/",""),"")</f>
        <v/>
      </c>
      <c r="Y113" s="45"/>
      <c r="Z113" s="43"/>
      <c r="AA113" s="44" t="str">
        <f>IF(AK93&gt;8,IF(AK92&gt;3,"/",""),"")</f>
        <v/>
      </c>
      <c r="AB113" s="45"/>
      <c r="AC113" s="43"/>
      <c r="AD113" s="44" t="str">
        <f>IF(AK93&gt;9,IF(AK92&gt;3,"/",""),"")</f>
        <v/>
      </c>
      <c r="AE113" s="45"/>
      <c r="AF113" s="36" t="str">
        <f>IF(AK94&gt;4,"Team 5","")</f>
        <v/>
      </c>
      <c r="AG113" s="46" t="str">
        <f>IF(AK94&lt;5,"",IF(AK93&lt;1,"",IF(B109=5,B115-D115,IF(D109=5,D115-B115,""))))</f>
        <v/>
      </c>
      <c r="AH113" s="42" t="str">
        <f>IF(AK94&lt;5,"",IF(AK93&lt;2,"",IF(E109=5,E115-G115,IF(G109=5,G115-E115,""))))</f>
        <v/>
      </c>
      <c r="AI113" s="42" t="str">
        <f>IF(AK94&lt;5,"",IF(AK93&lt;3,"",IF(H109=5,H115-J115,IF(J109=5,J115-H115,""))))</f>
        <v/>
      </c>
      <c r="AJ113" s="42" t="str">
        <f>IF(AK94&lt;5,"",IF(AK93&lt;4,"",IF(K109=5,K115-M115,IF(M109=5,M115-K115,""))))</f>
        <v/>
      </c>
      <c r="AK113" s="42" t="str">
        <f>IF(AK94&lt;5,"",IF(AK93&lt;5,"",IF(N109=5,N115-P115,IF(P109=5,P115-N115,""))))</f>
        <v/>
      </c>
      <c r="AL113" s="42" t="str">
        <f>IF(AK94&lt;5,"",IF(AK93&lt;6,"",IF(Q109=5,Q115-S115,IF(S109=5,S115-Q115,""))))</f>
        <v/>
      </c>
      <c r="AM113" s="42" t="str">
        <f>IF(AK94&lt;5,"",IF(AK93&lt;7,"",IF(T109=5,T115-V115,IF(V109=5,V115-T115,""))))</f>
        <v/>
      </c>
      <c r="AN113" s="42" t="str">
        <f>IF(AK94&lt;5,"",IF(AK93&lt;8,"",IF(W109=5,W115-Y115,IF(Y109=5,Y115-W115,""))))</f>
        <v/>
      </c>
      <c r="AO113" s="42" t="str">
        <f>IF(AK94&lt;5,"",IF(AK93&lt;9,"",IF(Z109=5,Z115-AB115,IF(AB109=5,AB115-Z115,""))))</f>
        <v/>
      </c>
      <c r="AP113" s="42" t="str">
        <f>IF(AK94&lt;5,"",IF(AK93&lt;10,"",IF(AC109=5,AC115-AE115,IF(AE109=5,AE115-AC115,""))))</f>
        <v/>
      </c>
      <c r="AQ113" s="38">
        <f>SUM(AG113:AP113)</f>
        <v>0</v>
      </c>
    </row>
    <row r="114" spans="1:43" ht="15" x14ac:dyDescent="0.25">
      <c r="A114" s="3" t="str">
        <f>IF(AK92&gt;4,"Game 5","")</f>
        <v/>
      </c>
      <c r="B114" s="43"/>
      <c r="C114" s="44" t="s">
        <v>60</v>
      </c>
      <c r="D114" s="45"/>
      <c r="E114" s="43"/>
      <c r="F114" s="44" t="str">
        <f>IF(AK93&gt;1,IF(AK92&gt;4,"/",""),"")</f>
        <v/>
      </c>
      <c r="G114" s="45"/>
      <c r="H114" s="43"/>
      <c r="I114" s="44" t="str">
        <f>IF(AK93&gt;2,IF(AK92&gt;4,"/",""),"")</f>
        <v/>
      </c>
      <c r="J114" s="45"/>
      <c r="K114" s="43"/>
      <c r="L114" s="44" t="str">
        <f>IF(AK93&gt;3,IF(AK92&gt;4,"/",""),"")</f>
        <v/>
      </c>
      <c r="M114" s="45"/>
      <c r="N114" s="43"/>
      <c r="O114" s="44" t="str">
        <f>IF(AK93&gt;4,IF(AK92&gt;4,"/",""),"")</f>
        <v/>
      </c>
      <c r="P114" s="45"/>
      <c r="Q114" s="43"/>
      <c r="R114" s="44" t="str">
        <f>IF(AK93&gt;5,IF(AK92&gt;4,"/",""),"")</f>
        <v/>
      </c>
      <c r="S114" s="45"/>
      <c r="T114" s="43"/>
      <c r="U114" s="44" t="str">
        <f>IF(AK93&gt;6,IF(AK92&gt;4,"/",""),"")</f>
        <v/>
      </c>
      <c r="V114" s="45"/>
      <c r="W114" s="43"/>
      <c r="X114" s="44" t="str">
        <f>IF(AK93&gt;7,IF(AK92&gt;4,"/",""),"")</f>
        <v/>
      </c>
      <c r="Y114" s="45"/>
      <c r="Z114" s="43"/>
      <c r="AA114" s="44" t="str">
        <f>IF(AK93&gt;8,IF(AK92&gt;4,"/",""),"")</f>
        <v/>
      </c>
      <c r="AB114" s="45"/>
      <c r="AC114" s="43"/>
      <c r="AD114" s="44" t="str">
        <f>IF(AK93&gt;9,IF(AK92&gt;4,"/",""),"")</f>
        <v/>
      </c>
      <c r="AE114" s="45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spans="1:43" x14ac:dyDescent="0.25">
      <c r="A115" s="47"/>
      <c r="B115" s="47">
        <f>IF($AK92=5,SUM(B110:B114),IF($AK92=4,SUM(B110:B113),IF($AK92=3,SUM(B110:B112),IF($AK92=2,SUM(B110:B111),B110))))</f>
        <v>27</v>
      </c>
      <c r="C115" s="47"/>
      <c r="D115" s="47">
        <f>IF($AK92=5,SUM(D110:D114),IF($AK92=4,SUM(D110:D113),IF($AK92=3,SUM(D110:D112),IF($AK92=2,SUM(D110:D111),D110))))</f>
        <v>26</v>
      </c>
      <c r="E115" s="47">
        <f>IF($AK92=5,SUM(E110:E114),IF($AK92=4,SUM(E110:E113),IF($AK92=3,SUM(E110:E112),IF($AK92=2,SUM(E110:E111),E110))))</f>
        <v>30</v>
      </c>
      <c r="F115" s="47"/>
      <c r="G115" s="47">
        <f>IF($AK92=5,SUM(G110:G114),IF($AK92=4,SUM(G110:G113),IF($AK92=3,SUM(G110:G112),IF($AK92=2,SUM(G110:G111),G110))))</f>
        <v>27</v>
      </c>
      <c r="H115" s="47">
        <f>IF($AK92=5,SUM(H110:H114),IF($AK92=4,SUM(H110:H113),IF($AK92=3,SUM(H110:H112),IF($AK92=2,SUM(H110:H111),H110))))</f>
        <v>30</v>
      </c>
      <c r="I115" s="47"/>
      <c r="J115" s="47">
        <f>IF($AK92=5,SUM(J110:J114),IF($AK92=4,SUM(J110:J113),IF($AK92=3,SUM(J110:J112),IF($AK92=2,SUM(J110:J111),J110))))</f>
        <v>23</v>
      </c>
      <c r="K115" s="47">
        <f>IF($AK92=5,SUM(K110:K114),IF($AK92=4,SUM(K110:K113),IF($AK92=3,SUM(K110:K112),IF($AK92=2,SUM(K110:K111),K110))))</f>
        <v>25</v>
      </c>
      <c r="L115" s="47"/>
      <c r="M115" s="47">
        <f>IF($AK92=5,SUM(M110:M114),IF($AK92=4,SUM(M110:M113),IF($AK92=3,SUM(M110:M112),IF($AK92=2,SUM(M110:M111),M110))))</f>
        <v>27</v>
      </c>
      <c r="N115" s="47">
        <f>IF($AK92=5,SUM(N110:N114),IF($AK92=4,SUM(N110:N113),IF($AK92=3,SUM(N110:N112),IF($AK92=2,SUM(N110:N111),N110))))</f>
        <v>23</v>
      </c>
      <c r="O115" s="47"/>
      <c r="P115" s="47">
        <f>IF($AK92=5,SUM(P110:P114),IF($AK92=4,SUM(P110:P113),IF($AK92=3,SUM(P110:P112),IF($AK92=2,SUM(P110:P111),P110))))</f>
        <v>24</v>
      </c>
      <c r="Q115" s="47">
        <f>IF($AK92=5,SUM(Q110:Q114),IF($AK92=4,SUM(Q110:Q113),IF($AK92=3,SUM(Q110:Q112),IF($AK92=2,SUM(Q110:Q111),Q110))))</f>
        <v>30</v>
      </c>
      <c r="R115" s="47"/>
      <c r="S115" s="47">
        <f>IF($AK92=5,SUM(S110:S114),IF($AK92=4,SUM(S110:S113),IF($AK92=3,SUM(S110:S112),IF($AK92=2,SUM(S110:S111),S110))))</f>
        <v>23</v>
      </c>
      <c r="T115" s="47">
        <f>IF($AK92=5,SUM(T110:T114),IF($AK92=4,SUM(T110:T113),IF($AK92=3,SUM(T110:T112),IF($AK92=2,SUM(T110:T111),T110))))</f>
        <v>0</v>
      </c>
      <c r="U115" s="47"/>
      <c r="V115" s="47">
        <f>IF($AK92=5,SUM(V110:V114),IF($AK92=4,SUM(V110:V113),IF($AK92=3,SUM(V110:V112),IF($AK92=2,SUM(V110:V111),V110))))</f>
        <v>0</v>
      </c>
      <c r="W115" s="47">
        <f>IF($AK92=5,SUM(W110:W114),IF($AK92=4,SUM(W110:W113),IF($AK92=3,SUM(W110:W112),IF($AK92=2,SUM(W110:W111),W110))))</f>
        <v>0</v>
      </c>
      <c r="X115" s="47"/>
      <c r="Y115" s="47">
        <f>IF($AK92=5,SUM(Y110:Y114),IF($AK92=4,SUM(Y110:Y113),IF($AK92=3,SUM(Y110:Y112),IF($AK92=2,SUM(Y110:Y111),Y110))))</f>
        <v>0</v>
      </c>
      <c r="Z115" s="47">
        <f>IF($AK92=5,SUM(Z110:Z114),IF($AK92=4,SUM(Z110:Z113),IF($AK92=3,SUM(Z110:Z112),IF($AK92=2,SUM(Z110:Z111),Z110))))</f>
        <v>0</v>
      </c>
      <c r="AA115" s="47"/>
      <c r="AB115" s="47">
        <f>IF($AK92=5,SUM(AB110:AB114),IF($AK92=4,SUM(AB110:AB113),IF($AK92=3,SUM(AB110:AB112),IF($AK92=2,SUM(AB110:AB111),AB110))))</f>
        <v>0</v>
      </c>
      <c r="AC115" s="47">
        <f>IF($AK92=5,SUM(AC110:AC114),IF($AK92=4,SUM(AC110:AC113),IF($AK92=3,SUM(AC110:AC112),IF($AK92=2,SUM(AC110:AC111),AC110))))</f>
        <v>0</v>
      </c>
      <c r="AD115" s="47"/>
      <c r="AE115" s="47">
        <f>IF($AK92=5,SUM(AE110:AE114),IF($AK92=4,SUM(AE110:AE113),IF($AK92=3,SUM(AE110:AE112),IF($AK92=2,SUM(AE110:AE111),AE110))))</f>
        <v>0</v>
      </c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</row>
    <row r="116" spans="1:43" s="48" customFormat="1" ht="12.75" customHeight="1" x14ac:dyDescent="0.25">
      <c r="A116" s="48" t="s">
        <v>61</v>
      </c>
      <c r="B116" s="49">
        <f>IF(AND(B110&gt;D110,$AK93&gt;0,ISNUMBER(B110),ISNUMBER(D110)),1,0)</f>
        <v>1</v>
      </c>
      <c r="C116" s="49"/>
      <c r="D116" s="50">
        <f>IF(AND(D110&gt;B110,$AK93&gt;0,ISNUMBER(B110),ISNUMBER(D110)),1,0)</f>
        <v>0</v>
      </c>
      <c r="E116" s="49">
        <f>IF(AND(E110&gt;G110,$AK93&gt;1,ISNUMBER(E110),ISNUMBER(G110)),1,0)</f>
        <v>1</v>
      </c>
      <c r="F116" s="49"/>
      <c r="G116" s="50">
        <f>IF(AND(G110&gt;E110,$AK93&gt;1,ISNUMBER(E110),ISNUMBER(G110)),1,0)</f>
        <v>0</v>
      </c>
      <c r="H116" s="49">
        <f>IF(AND(H110&gt;J110,$AK93&gt;2,ISNUMBER(H110),ISNUMBER(J110)),1,0)</f>
        <v>1</v>
      </c>
      <c r="I116" s="49"/>
      <c r="J116" s="50">
        <f>IF(AND(J110&gt;H110,$AK93&gt;2,ISNUMBER(H110),ISNUMBER(J110)),1,0)</f>
        <v>0</v>
      </c>
      <c r="K116" s="49">
        <f>IF(AND(K110&gt;M110,$AK93&gt;3,ISNUMBER(K110),ISNUMBER(M110)),1,0)</f>
        <v>0</v>
      </c>
      <c r="L116" s="49"/>
      <c r="M116" s="50">
        <f>IF(AND(M110&gt;K110,$AK93&gt;3,ISNUMBER(K110),ISNUMBER(M110)),1,0)</f>
        <v>1</v>
      </c>
      <c r="N116" s="49">
        <f>IF(AND(N110&gt;P110,$AK93&gt;4,ISNUMBER(N110),ISNUMBER(P110)),1,0)</f>
        <v>0</v>
      </c>
      <c r="O116" s="49"/>
      <c r="P116" s="50">
        <f>IF(AND(P110&gt;N110,$AK93&gt;4,ISNUMBER(N110),ISNUMBER(P110)),1,0)</f>
        <v>1</v>
      </c>
      <c r="Q116" s="49">
        <f>IF(AND(Q110&gt;S110,$AK93&gt;5,ISNUMBER(Q110),ISNUMBER(S110)),1,0)</f>
        <v>1</v>
      </c>
      <c r="R116" s="49"/>
      <c r="S116" s="50">
        <f>IF(AND(S110&gt;Q110,$AK93&gt;5,ISNUMBER(Q110),ISNUMBER(S110)),1,0)</f>
        <v>0</v>
      </c>
      <c r="T116" s="49">
        <f>IF(AND(T110&gt;V110,$AK93&gt;6,ISNUMBER(T110),ISNUMBER(V110)),1,0)</f>
        <v>0</v>
      </c>
      <c r="U116" s="49"/>
      <c r="V116" s="50">
        <f>IF(AND(V110&gt;T110,$AK93&gt;6,ISNUMBER(T110),ISNUMBER(V110)),1,0)</f>
        <v>0</v>
      </c>
      <c r="W116" s="49">
        <f>IF(AND(W110&gt;Y110,$AK93&gt;7,ISNUMBER(W110),ISNUMBER(Y110)),1,0)</f>
        <v>0</v>
      </c>
      <c r="X116" s="49"/>
      <c r="Y116" s="50">
        <f>IF(AND(Y110&gt;W110,$AK93&gt;7,ISNUMBER(W110),ISNUMBER(Y110)),1,0)</f>
        <v>0</v>
      </c>
      <c r="Z116" s="49">
        <f>IF(AND(Z110&gt;AB110,$AK93&gt;8,ISNUMBER(Z110),ISNUMBER(AB110)),1,0)</f>
        <v>0</v>
      </c>
      <c r="AA116" s="49"/>
      <c r="AB116" s="50">
        <f>IF(AND(AB110&gt;Z110,$AK93&gt;8,ISNUMBER(Z110),ISNUMBER(AB110)),1,0)</f>
        <v>0</v>
      </c>
      <c r="AC116" s="49">
        <f>IF(AND(AC110&gt;AE110,$AK93&gt;9,ISNUMBER(AC110),ISNUMBER(AE110)),1,0)</f>
        <v>0</v>
      </c>
      <c r="AD116" s="49"/>
      <c r="AE116" s="50">
        <f>IF(AND(AE110&gt;AC110,$AK93&gt;9,ISNUMBER(AC110),ISNUMBER(AE110)),1,0)</f>
        <v>0</v>
      </c>
    </row>
    <row r="117" spans="1:43" s="48" customFormat="1" ht="12.75" customHeight="1" x14ac:dyDescent="0.25">
      <c r="A117" s="48" t="s">
        <v>62</v>
      </c>
      <c r="B117" s="49">
        <f>IF(AND(B111&gt;D111,$AK93&gt;0,$AK92&gt;1,ISNUMBER(B111),ISNUMBER(D111)),1,0)</f>
        <v>0</v>
      </c>
      <c r="C117" s="49"/>
      <c r="D117" s="50">
        <f>IF(AND(D111&gt;B111,$AK93&gt;0,$AK92&gt;1,ISNUMBER(B111),ISNUMBER(D111)),1,0)</f>
        <v>0</v>
      </c>
      <c r="E117" s="49">
        <f>IF(AND(E111&gt;G111,$AK93&gt;1,$AK92&gt;1,ISNUMBER(E111),ISNUMBER(G111)),1,0)</f>
        <v>0</v>
      </c>
      <c r="F117" s="49"/>
      <c r="G117" s="50">
        <f>IF(AND(G111&gt;E111,$AK93&gt;1,$AK92&gt;1,ISNUMBER(E111),ISNUMBER(G111)),1,0)</f>
        <v>0</v>
      </c>
      <c r="H117" s="49">
        <f>IF(AND(H111&gt;J111,$AK93&gt;2,$AK92&gt;1,ISNUMBER(H111),ISNUMBER(J111)),1,0)</f>
        <v>0</v>
      </c>
      <c r="I117" s="49"/>
      <c r="J117" s="50">
        <f>IF(AND(J111&gt;H111,$AK93&gt;2,$AK92&gt;1,ISNUMBER(H111),ISNUMBER(J111)),1,0)</f>
        <v>0</v>
      </c>
      <c r="K117" s="49">
        <f>IF(AND(K111&gt;M111,$AK93&gt;3,$AK92&gt;1,ISNUMBER(K111),ISNUMBER(M111)),1,0)</f>
        <v>0</v>
      </c>
      <c r="L117" s="49"/>
      <c r="M117" s="50">
        <f>IF(AND(M111&gt;K111,$AK93&gt;3,$AK92&gt;1,ISNUMBER(K111),ISNUMBER(M111)),1,0)</f>
        <v>0</v>
      </c>
      <c r="N117" s="49">
        <f>IF(AND(N111&gt;P111,$AK93&gt;4,$AK92&gt;1,ISNUMBER(N111),ISNUMBER(P111)),1,0)</f>
        <v>0</v>
      </c>
      <c r="O117" s="49"/>
      <c r="P117" s="50">
        <f>IF(AND(P111&gt;N111,$AK93&gt;4,$AK92&gt;1,ISNUMBER(N111),ISNUMBER(P111)),1,0)</f>
        <v>0</v>
      </c>
      <c r="Q117" s="49">
        <f>IF(AND(Q111&gt;S111,$AK93&gt;5,$AK92&gt;1,ISNUMBER(Q111),ISNUMBER(S111)),1,0)</f>
        <v>0</v>
      </c>
      <c r="R117" s="49"/>
      <c r="S117" s="50">
        <f>IF(AND(S111&gt;Q111,$AK93&gt;5,$AK92&gt;1,ISNUMBER(Q111),ISNUMBER(S111)),1,0)</f>
        <v>0</v>
      </c>
      <c r="T117" s="49">
        <f>IF(AND(T111&gt;V111,$AK93&gt;6,$AK92&gt;1,ISNUMBER(T111),ISNUMBER(V111)),1,0)</f>
        <v>0</v>
      </c>
      <c r="U117" s="49"/>
      <c r="V117" s="50">
        <f>IF(AND(V111&gt;T111,$AK93&gt;6,$AK92&gt;1,ISNUMBER(T111),ISNUMBER(V111)),1,0)</f>
        <v>0</v>
      </c>
      <c r="W117" s="49">
        <f>IF(AND(W111&gt;Y111,$AK93&gt;7,$AK92&gt;1,ISNUMBER(W111),ISNUMBER(Y111)),1,0)</f>
        <v>0</v>
      </c>
      <c r="X117" s="49"/>
      <c r="Y117" s="50">
        <f>IF(AND(Y111&gt;W111,$AK93&gt;7,$AK92&gt;1,ISNUMBER(W111),ISNUMBER(Y111)),1,0)</f>
        <v>0</v>
      </c>
      <c r="Z117" s="49">
        <f>IF(AND(Z111&gt;AB111,$AK93&gt;8,$AK92&gt;1,ISNUMBER(Z111),ISNUMBER(AB111)),1,0)</f>
        <v>0</v>
      </c>
      <c r="AA117" s="49"/>
      <c r="AB117" s="50">
        <f>IF(AND(AB111&gt;Z111,$AK93&gt;8,$AK92&gt;1,ISNUMBER(Z111),ISNUMBER(AB111)),1,0)</f>
        <v>0</v>
      </c>
      <c r="AC117" s="49">
        <f>IF(AND(AC111&gt;AE111,$AK93&gt;9,$AK92&gt;1,ISNUMBER(AC111),ISNUMBER(AE111)),1,0)</f>
        <v>0</v>
      </c>
      <c r="AD117" s="49"/>
      <c r="AE117" s="50">
        <f>IF(AND(AE111&gt;AC111,$AK93&gt;9,$AK92&gt;1,ISNUMBER(AC111),ISNUMBER(AE111)),1,0)</f>
        <v>0</v>
      </c>
    </row>
    <row r="118" spans="1:43" s="48" customFormat="1" ht="12.75" customHeight="1" x14ac:dyDescent="0.25">
      <c r="A118" s="48" t="s">
        <v>63</v>
      </c>
      <c r="B118" s="49">
        <f>IF(AND(B112&gt;D112,$AK93&gt;0,$AK92&gt;2,ISNUMBER(B112),ISNUMBER(D112)),1,0)</f>
        <v>0</v>
      </c>
      <c r="C118" s="49"/>
      <c r="D118" s="50">
        <f>IF(AND(D112&gt;B112,$AK93&gt;0,$AK92&gt;2,ISNUMBER(B112),ISNUMBER(D112)),1,0)</f>
        <v>0</v>
      </c>
      <c r="E118" s="49">
        <f>IF(AND(E112&gt;G112,$AK93&gt;1,$AK92&gt;2,ISNUMBER(E112),ISNUMBER(G112)),1,0)</f>
        <v>0</v>
      </c>
      <c r="F118" s="49"/>
      <c r="G118" s="50">
        <f>IF(AND(G112&gt;E112,$AK93&gt;1,$AK92&gt;2,ISNUMBER(E112),ISNUMBER(G112)),1,0)</f>
        <v>0</v>
      </c>
      <c r="H118" s="49">
        <f>IF(AND(H112&gt;J112,$AK93&gt;2,$AK92&gt;2,ISNUMBER(H112),ISNUMBER(J112)),1,0)</f>
        <v>0</v>
      </c>
      <c r="I118" s="49"/>
      <c r="J118" s="50">
        <f>IF(AND(J112&gt;H112,$AK93&gt;2,$AK92&gt;2,ISNUMBER(H112),ISNUMBER(J112)),1,0)</f>
        <v>0</v>
      </c>
      <c r="K118" s="49">
        <f>IF(AND(K112&gt;M112,$AK93&gt;3,$AK92&gt;2,ISNUMBER(K112),ISNUMBER(M112)),1,0)</f>
        <v>0</v>
      </c>
      <c r="L118" s="49"/>
      <c r="M118" s="50">
        <f>IF(AND(M112&gt;K112,$AK93&gt;3,$AK92&gt;2,ISNUMBER(K112),ISNUMBER(M112)),1,0)</f>
        <v>0</v>
      </c>
      <c r="N118" s="49">
        <f>IF(AND(N112&gt;P112,$AK93&gt;4,$AK92&gt;2,ISNUMBER(N112),ISNUMBER(P112)),1,0)</f>
        <v>0</v>
      </c>
      <c r="O118" s="49"/>
      <c r="P118" s="50">
        <f>IF(AND(P112&gt;N112,$AK93&gt;4,$AK92&gt;2,ISNUMBER(N112),ISNUMBER(P112)),1,0)</f>
        <v>0</v>
      </c>
      <c r="Q118" s="49">
        <f>IF(AND(Q112&gt;S112,$AK93&gt;5,$AK92&gt;2,ISNUMBER(Q112),ISNUMBER(S112)),1,0)</f>
        <v>0</v>
      </c>
      <c r="R118" s="49"/>
      <c r="S118" s="50">
        <f>IF(AND(S112&gt;Q112,$AK93&gt;5,$AK92&gt;2,ISNUMBER(Q112),ISNUMBER(S112)),1,0)</f>
        <v>0</v>
      </c>
      <c r="T118" s="49">
        <f>IF(AND(T112&gt;V112,$AK93&gt;6,$AK92&gt;2,ISNUMBER(T112),ISNUMBER(V112)),1,0)</f>
        <v>0</v>
      </c>
      <c r="U118" s="49"/>
      <c r="V118" s="50">
        <f>IF(AND(V112&gt;T112,$AK93&gt;6,$AK92&gt;2,ISNUMBER(T112),ISNUMBER(V112)),1,0)</f>
        <v>0</v>
      </c>
      <c r="W118" s="49">
        <f>IF(AND(W112&gt;Y112,$AK93&gt;7,$AK92&gt;2,ISNUMBER(W112),ISNUMBER(Y112)),1,0)</f>
        <v>0</v>
      </c>
      <c r="X118" s="49"/>
      <c r="Y118" s="50">
        <f>IF(AND(Y112&gt;W112,$AK93&gt;7,$AK92&gt;2,ISNUMBER(W112),ISNUMBER(Y112)),1,0)</f>
        <v>0</v>
      </c>
      <c r="Z118" s="49">
        <f>IF(AND(Z112&gt;AB112,$AK93&gt;8,$AK92&gt;2,ISNUMBER(Z112),ISNUMBER(AB112)),1,0)</f>
        <v>0</v>
      </c>
      <c r="AA118" s="49"/>
      <c r="AB118" s="50">
        <f>IF(AND(AB112&gt;Z112,$AK93&gt;8,$AK92&gt;2,ISNUMBER(Z112),ISNUMBER(AB112)),1,0)</f>
        <v>0</v>
      </c>
      <c r="AC118" s="49">
        <f>IF(AND(AC112&gt;AE112,$AK93&gt;9,$AK92&gt;2,ISNUMBER(AC112),ISNUMBER(AE112)),1,0)</f>
        <v>0</v>
      </c>
      <c r="AD118" s="49"/>
      <c r="AE118" s="50">
        <f>IF(AND(AE112&gt;AC112,$AK93&gt;9,$AK92&gt;2,ISNUMBER(AC112),ISNUMBER(AE112)),1,0)</f>
        <v>0</v>
      </c>
    </row>
    <row r="119" spans="1:43" s="48" customFormat="1" ht="12.75" customHeight="1" x14ac:dyDescent="0.25">
      <c r="A119" s="48" t="s">
        <v>64</v>
      </c>
      <c r="B119" s="49">
        <f>IF(AND(B113&gt;D113,$AK93&gt;0,$AK92&gt;3,ISNUMBER(B113),ISNUMBER(D113)),1,0)</f>
        <v>0</v>
      </c>
      <c r="C119" s="49"/>
      <c r="D119" s="50">
        <f>IF(AND(D113&gt;B113,$AK93&gt;0,$AK92&gt;3,ISNUMBER(B113),ISNUMBER(D113)),1,0)</f>
        <v>0</v>
      </c>
      <c r="E119" s="49">
        <f>IF(AND(E113&gt;G113,$AK93&gt;1,$AK92&gt;3,ISNUMBER(E113),ISNUMBER(G113)),1,0)</f>
        <v>0</v>
      </c>
      <c r="F119" s="49"/>
      <c r="G119" s="50">
        <f>IF(AND(G113&gt;E113,$AK93&gt;1,$AK92&gt;3,ISNUMBER(E113),ISNUMBER(G113)),1,0)</f>
        <v>0</v>
      </c>
      <c r="H119" s="49">
        <f>IF(AND(H113&gt;J113,$AK93&gt;2,$AK92&gt;3,ISNUMBER(H113),ISNUMBER(J113)),1,0)</f>
        <v>0</v>
      </c>
      <c r="I119" s="49"/>
      <c r="J119" s="50">
        <f>IF(AND(J113&gt;H113,$AK93&gt;2,$AK92&gt;3,ISNUMBER(H113),ISNUMBER(J113)),1,0)</f>
        <v>0</v>
      </c>
      <c r="K119" s="49">
        <f>IF(AND(K113&gt;M113,$AK93&gt;3,$AK92&gt;3,ISNUMBER(K113),ISNUMBER(M113)),1,0)</f>
        <v>0</v>
      </c>
      <c r="L119" s="49"/>
      <c r="M119" s="50">
        <f>IF(AND(M113&gt;K113,$AK93&gt;3,$AK92&gt;3,ISNUMBER(K113),ISNUMBER(M113)),1,0)</f>
        <v>0</v>
      </c>
      <c r="N119" s="49">
        <f>IF(AND(N113&gt;P113,$AK93&gt;4,$AK92&gt;3,ISNUMBER(N113),ISNUMBER(P113)),1,0)</f>
        <v>0</v>
      </c>
      <c r="O119" s="49"/>
      <c r="P119" s="50">
        <f>IF(AND(P113&gt;N113,$AK93&gt;4,$AK92&gt;3,ISNUMBER(N113),ISNUMBER(P113)),1,0)</f>
        <v>0</v>
      </c>
      <c r="Q119" s="49">
        <f>IF(AND(Q113&gt;S113,$AK93&gt;5,$AK92&gt;3,ISNUMBER(Q113),ISNUMBER(S113)),1,0)</f>
        <v>0</v>
      </c>
      <c r="R119" s="49"/>
      <c r="S119" s="50">
        <f>IF(AND(S113&gt;Q113,$AK93&gt;5,$AK92&gt;3,ISNUMBER(Q113),ISNUMBER(S113)),1,0)</f>
        <v>0</v>
      </c>
      <c r="T119" s="49">
        <f>IF(AND(T113&gt;V113,$AK93&gt;6,$AK92&gt;3,ISNUMBER(T113),ISNUMBER(V113)),1,0)</f>
        <v>0</v>
      </c>
      <c r="U119" s="49"/>
      <c r="V119" s="50">
        <f>IF(AND(V113&gt;T113,$AK93&gt;6,$AK92&gt;3,ISNUMBER(T113),ISNUMBER(V113)),1,0)</f>
        <v>0</v>
      </c>
      <c r="W119" s="49">
        <f>IF(AND(W113&gt;Y113,$AK93&gt;7,$AK92&gt;3,ISNUMBER(W113),ISNUMBER(Y113)),1,0)</f>
        <v>0</v>
      </c>
      <c r="X119" s="49"/>
      <c r="Y119" s="50">
        <f>IF(AND(Y113&gt;W113,$AK93&gt;7,$AK92&gt;3,ISNUMBER(W113),ISNUMBER(Y113)),1,0)</f>
        <v>0</v>
      </c>
      <c r="Z119" s="49">
        <f>IF(AND(Z113&gt;AB113,$AK93&gt;8,$AK92&gt;3,ISNUMBER(Z113),ISNUMBER(AB113)),1,0)</f>
        <v>0</v>
      </c>
      <c r="AA119" s="49"/>
      <c r="AB119" s="50">
        <f>IF(AND(AB113&gt;Z113,$AK93&gt;8,$AK92&gt;3,ISNUMBER(Z113),ISNUMBER(AB113)),1,0)</f>
        <v>0</v>
      </c>
      <c r="AC119" s="49">
        <f>IF(AND(AC113&gt;AE113,$AK93&gt;9,$AK92&gt;3,ISNUMBER(AC113),ISNUMBER(AE113)),1,0)</f>
        <v>0</v>
      </c>
      <c r="AD119" s="49"/>
      <c r="AE119" s="50">
        <f>IF(AND(AE113&gt;AC113,$AK93&gt;9,$AK92&gt;3,ISNUMBER(AC113),ISNUMBER(AE113)),1,0)</f>
        <v>0</v>
      </c>
    </row>
    <row r="120" spans="1:43" s="48" customFormat="1" ht="12.75" customHeight="1" x14ac:dyDescent="0.25">
      <c r="A120" s="48" t="s">
        <v>65</v>
      </c>
      <c r="B120" s="49">
        <f>IF(AND(B114&gt;D114,$AK93&gt;0,$AK92&gt;4,ISNUMBER(B114),ISNUMBER(D114)),1,0)</f>
        <v>0</v>
      </c>
      <c r="C120" s="49"/>
      <c r="D120" s="50">
        <f>IF(AND(D114&gt;B114,$AK93&gt;0,$AK92&gt;4,ISNUMBER(B114),ISNUMBER(D114)),1,0)</f>
        <v>0</v>
      </c>
      <c r="E120" s="49">
        <f>IF(AND(E114&gt;G114,$AK93&gt;1,$AK92&gt;4,ISNUMBER(E114),ISNUMBER(G114)),1,0)</f>
        <v>0</v>
      </c>
      <c r="F120" s="49"/>
      <c r="G120" s="50">
        <f>IF(AND(G114&gt;E114,$AK93&gt;1,$AK92&gt;4,ISNUMBER(E114),ISNUMBER(G114)),1,0)</f>
        <v>0</v>
      </c>
      <c r="H120" s="49">
        <f>IF(AND(H114&gt;J114,$AK93&gt;2,$AK92&gt;4,ISNUMBER(H114),ISNUMBER(J114)),1,0)</f>
        <v>0</v>
      </c>
      <c r="I120" s="49"/>
      <c r="J120" s="50">
        <f>IF(AND(J114&gt;H114,$AK93&gt;2,$AK92&gt;4,ISNUMBER(H114),ISNUMBER(J114)),1,0)</f>
        <v>0</v>
      </c>
      <c r="K120" s="49">
        <f>IF(AND(K114&gt;M114,$AK93&gt;3,$AK92&gt;4,ISNUMBER(K114),ISNUMBER(M114)),1,0)</f>
        <v>0</v>
      </c>
      <c r="L120" s="49"/>
      <c r="M120" s="50">
        <f>IF(AND(M114&gt;K114,$AK93&gt;3,$AK92&gt;4,ISNUMBER(K114),ISNUMBER(M114)),1,0)</f>
        <v>0</v>
      </c>
      <c r="N120" s="49">
        <f>IF(AND(N114&gt;P114,$AK93&gt;4,$AK92&gt;4,ISNUMBER(N114),ISNUMBER(P114)),1,0)</f>
        <v>0</v>
      </c>
      <c r="O120" s="49"/>
      <c r="P120" s="50">
        <f>IF(AND(P114&gt;N114,$AK93&gt;4,$AK92&gt;4,ISNUMBER(N114),ISNUMBER(P114)),1,0)</f>
        <v>0</v>
      </c>
      <c r="Q120" s="49">
        <f>IF(AND(Q114&gt;S114,$AK93&gt;5,$AK92&gt;4,ISNUMBER(Q114),ISNUMBER(S114)),1,0)</f>
        <v>0</v>
      </c>
      <c r="R120" s="49"/>
      <c r="S120" s="50">
        <f>IF(AND(S114&gt;Q114,$AK93&gt;5,$AK92&gt;4,ISNUMBER(Q114),ISNUMBER(S114)),1,0)</f>
        <v>0</v>
      </c>
      <c r="T120" s="49">
        <f>IF(AND(T114&gt;V114,$AK93&gt;6,$AK92&gt;4,ISNUMBER(T114),ISNUMBER(V114)),1,0)</f>
        <v>0</v>
      </c>
      <c r="U120" s="49"/>
      <c r="V120" s="50">
        <f>IF(AND(V114&gt;T114,$AK93&gt;6,$AK92&gt;4,ISNUMBER(T114),ISNUMBER(V114)),1,0)</f>
        <v>0</v>
      </c>
      <c r="W120" s="49">
        <f>IF(AND(W114&gt;Y114,$AK93&gt;7,$AK92&gt;4,ISNUMBER(W114),ISNUMBER(Y114)),1,0)</f>
        <v>0</v>
      </c>
      <c r="X120" s="49"/>
      <c r="Y120" s="50">
        <f>IF(AND(Y114&gt;W114,$AK93&gt;7,$AK92&gt;4,ISNUMBER(W114),ISNUMBER(Y114)),1,0)</f>
        <v>0</v>
      </c>
      <c r="Z120" s="49">
        <f>IF(AND(Z114&gt;AB114,$AK93&gt;8,$AK92&gt;4,ISNUMBER(Z114),ISNUMBER(AB114)),1,0)</f>
        <v>0</v>
      </c>
      <c r="AA120" s="49"/>
      <c r="AB120" s="50">
        <f>IF(AND(AB114&gt;Z114,$AK93&gt;8,$AK92&gt;4,ISNUMBER(Z114),ISNUMBER(AB114)),1,0)</f>
        <v>0</v>
      </c>
      <c r="AC120" s="49">
        <f>IF(AND(AC114&gt;AE114,$AK93&gt;9,$AK92&gt;4,ISNUMBER(AC114),ISNUMBER(AE114)),1,0)</f>
        <v>0</v>
      </c>
      <c r="AD120" s="49"/>
      <c r="AE120" s="50">
        <f>IF(AND(AE114&gt;AC114,$AK93&gt;9,$AK92&gt;4,ISNUMBER(AC114),ISNUMBER(AE114)),1,0)</f>
        <v>0</v>
      </c>
    </row>
    <row r="121" spans="1:43" s="48" customFormat="1" ht="38.25" customHeight="1" x14ac:dyDescent="0.25">
      <c r="A121" s="51" t="s">
        <v>66</v>
      </c>
      <c r="B121" s="48">
        <f>SUM(B116:B120)</f>
        <v>1</v>
      </c>
      <c r="D121" s="52">
        <f>SUM(D116:D120)</f>
        <v>0</v>
      </c>
      <c r="E121" s="48">
        <f>SUM(E116:E120)</f>
        <v>1</v>
      </c>
      <c r="G121" s="52">
        <f>SUM(G116:G120)</f>
        <v>0</v>
      </c>
      <c r="H121" s="48">
        <f>SUM(H116:H120)</f>
        <v>1</v>
      </c>
      <c r="J121" s="52">
        <f>SUM(J116:J120)</f>
        <v>0</v>
      </c>
      <c r="K121" s="48">
        <f>SUM(K116:K120)</f>
        <v>0</v>
      </c>
      <c r="M121" s="52">
        <f>SUM(M116:M120)</f>
        <v>1</v>
      </c>
      <c r="N121" s="48">
        <f>SUM(N116:N120)</f>
        <v>0</v>
      </c>
      <c r="P121" s="52">
        <f>SUM(P116:P120)</f>
        <v>1</v>
      </c>
      <c r="Q121" s="48">
        <f>SUM(Q116:Q120)</f>
        <v>1</v>
      </c>
      <c r="S121" s="52">
        <f>SUM(S116:S120)</f>
        <v>0</v>
      </c>
      <c r="T121" s="48">
        <f>SUM(T116:T120)</f>
        <v>0</v>
      </c>
      <c r="V121" s="52">
        <f>SUM(V116:V120)</f>
        <v>0</v>
      </c>
      <c r="W121" s="48">
        <f>SUM(W116:W120)</f>
        <v>0</v>
      </c>
      <c r="Y121" s="52">
        <f>SUM(Y116:Y120)</f>
        <v>0</v>
      </c>
      <c r="Z121" s="48">
        <f>SUM(Z116:Z120)</f>
        <v>0</v>
      </c>
      <c r="AB121" s="52">
        <f>SUM(AB116:AB120)</f>
        <v>0</v>
      </c>
      <c r="AC121" s="48">
        <f>SUM(AC116:AC120)</f>
        <v>0</v>
      </c>
      <c r="AE121" s="52">
        <f>SUM(AE116:AE120)</f>
        <v>0</v>
      </c>
    </row>
    <row r="122" spans="1:43" s="48" customFormat="1" ht="25.5" customHeight="1" x14ac:dyDescent="0.25">
      <c r="A122" s="51" t="s">
        <v>67</v>
      </c>
      <c r="B122" s="48">
        <f>IF(B121&gt;D121,IF(C156=AK92,1,IF(C156=AK92-1,1,0)),0)</f>
        <v>1</v>
      </c>
      <c r="C122" s="48">
        <f>B122+D122</f>
        <v>1</v>
      </c>
      <c r="D122" s="52">
        <f>IF(D121&gt;B121,IF(C156=AK92,1,IF(C156=AK92-1,1,0)),0)</f>
        <v>0</v>
      </c>
      <c r="E122" s="48">
        <f>IF(E121&gt;G121,IF(F156=AK92,1,IF(F156=AK92-1,1,0)),0)</f>
        <v>1</v>
      </c>
      <c r="F122" s="48">
        <f>E122+G122</f>
        <v>1</v>
      </c>
      <c r="G122" s="52">
        <f>IF(G121&gt;E121,IF(F156=AK92,1,IF(F156=AK92-1,1,0)),0)</f>
        <v>0</v>
      </c>
      <c r="H122" s="48">
        <f>IF(H121&gt;J121,IF(I156=AK92,1,IF(I156=AK92-1,1,0)),0)</f>
        <v>1</v>
      </c>
      <c r="I122" s="48">
        <f>H122+J122</f>
        <v>1</v>
      </c>
      <c r="J122" s="52">
        <f>IF(J121&gt;H121,IF(I156=AK92,1,IF(I156=AK92-1,1,0)),0)</f>
        <v>0</v>
      </c>
      <c r="K122" s="48">
        <f>IF(K121&gt;M121,IF(L156=AK92,1,IF(L156=AK92-1,1,0)),0)</f>
        <v>0</v>
      </c>
      <c r="L122" s="48">
        <f>K122+M122</f>
        <v>1</v>
      </c>
      <c r="M122" s="52">
        <f>IF(M121&gt;K121,IF(L156=AK92,1,IF(L156=AK92-1,1,0)),0)</f>
        <v>1</v>
      </c>
      <c r="N122" s="48">
        <f>IF(N121&gt;P121,IF(O156=AK92,1,IF(O156=AK92-1,1,0)),0)</f>
        <v>0</v>
      </c>
      <c r="O122" s="48">
        <f>N122+P122</f>
        <v>1</v>
      </c>
      <c r="P122" s="52">
        <f>IF(P121&gt;N121,IF(O156=AK92,1,IF(O156=AK92-1,1,0)),0)</f>
        <v>1</v>
      </c>
      <c r="Q122" s="48">
        <f>IF(Q121&gt;S121,IF(R156=AK92,1,IF(R156=AK92-1,1,0)),0)</f>
        <v>1</v>
      </c>
      <c r="R122" s="48">
        <f>Q122+S122</f>
        <v>1</v>
      </c>
      <c r="S122" s="52">
        <f>IF(S121&gt;Q121,IF(R156=AK92,1,IF(R156=AK92-1,1,0)),0)</f>
        <v>0</v>
      </c>
      <c r="T122" s="48">
        <f>IF(T121&gt;V121,IF(U156=AK92,1,IF(U156=AK92-1,1,0)),0)</f>
        <v>0</v>
      </c>
      <c r="U122" s="48">
        <f>T122+V122</f>
        <v>0</v>
      </c>
      <c r="V122" s="52">
        <f>IF(V121&gt;T121,IF(U156=AK92,1,IF(U156=AK92-1,1,0)),0)</f>
        <v>0</v>
      </c>
      <c r="W122" s="48">
        <f>IF(W121&gt;Y121,IF(X156=AK92,1,IF(X156=AK92-1,1,0)),0)</f>
        <v>0</v>
      </c>
      <c r="X122" s="48">
        <f>W122+Y122</f>
        <v>0</v>
      </c>
      <c r="Y122" s="52">
        <f>IF(Y121&gt;W121,IF(X156=AK92,1,IF(X156=AK92-1,1,0)),0)</f>
        <v>0</v>
      </c>
      <c r="Z122" s="48">
        <f>IF(Z121&gt;AB121,IF(AA156=AK92,1,IF(AA156=AK92-1,1,0)),0)</f>
        <v>0</v>
      </c>
      <c r="AA122" s="48">
        <f>Z122+AB122</f>
        <v>0</v>
      </c>
      <c r="AB122" s="52">
        <f>IF(AB121&gt;Z121,IF(AA156=AK92,1,IF(AA156=AK92-1,1,0)),0)</f>
        <v>0</v>
      </c>
      <c r="AC122" s="48">
        <f>IF(AC121&gt;AE121,IF(AD156=AK92,1,IF(AD156=AK92-1,1,0)),0)</f>
        <v>0</v>
      </c>
      <c r="AD122" s="48">
        <f>AC122+AE122</f>
        <v>0</v>
      </c>
      <c r="AE122" s="52">
        <f>IF(AE121&gt;AC121,IF(AD156=AK92,1,IF(AD156=AK92-1,1,0)),0)</f>
        <v>0</v>
      </c>
    </row>
    <row r="123" spans="1:43" s="48" customFormat="1" ht="25.5" customHeight="1" x14ac:dyDescent="0.25">
      <c r="A123" s="51"/>
      <c r="D123" s="52"/>
      <c r="G123" s="52"/>
      <c r="J123" s="52"/>
      <c r="M123" s="52"/>
      <c r="P123" s="52"/>
      <c r="S123" s="52"/>
      <c r="V123" s="52"/>
      <c r="Y123" s="52"/>
      <c r="AB123" s="52"/>
      <c r="AE123" s="52"/>
    </row>
    <row r="124" spans="1:43" s="48" customFormat="1" ht="12.75" customHeight="1" x14ac:dyDescent="0.25">
      <c r="A124" s="48" t="s">
        <v>68</v>
      </c>
      <c r="B124" s="48">
        <f>IF(B116=1,B110,0)</f>
        <v>27</v>
      </c>
      <c r="D124" s="52">
        <f t="shared" ref="D124:E128" si="9">IF(D116=1,D110,0)</f>
        <v>0</v>
      </c>
      <c r="E124" s="48">
        <f t="shared" si="9"/>
        <v>30</v>
      </c>
      <c r="G124" s="52">
        <f t="shared" ref="G124:H128" si="10">IF(G116=1,G110,0)</f>
        <v>0</v>
      </c>
      <c r="H124" s="48">
        <f t="shared" si="10"/>
        <v>30</v>
      </c>
      <c r="J124" s="52">
        <f t="shared" ref="J124:K128" si="11">IF(J116=1,J110,0)</f>
        <v>0</v>
      </c>
      <c r="K124" s="48">
        <f t="shared" si="11"/>
        <v>0</v>
      </c>
      <c r="M124" s="52">
        <f t="shared" ref="M124:N128" si="12">IF(M116=1,M110,0)</f>
        <v>27</v>
      </c>
      <c r="N124" s="48">
        <f t="shared" si="12"/>
        <v>0</v>
      </c>
      <c r="P124" s="52">
        <f t="shared" ref="P124:Q128" si="13">IF(P116=1,P110,0)</f>
        <v>24</v>
      </c>
      <c r="Q124" s="48">
        <f t="shared" si="13"/>
        <v>30</v>
      </c>
      <c r="S124" s="52">
        <f t="shared" ref="S124:T128" si="14">IF(S116=1,S110,0)</f>
        <v>0</v>
      </c>
      <c r="T124" s="48">
        <f t="shared" si="14"/>
        <v>0</v>
      </c>
      <c r="V124" s="52">
        <f t="shared" ref="V124:W128" si="15">IF(V116=1,V110,0)</f>
        <v>0</v>
      </c>
      <c r="W124" s="48">
        <f t="shared" si="15"/>
        <v>0</v>
      </c>
      <c r="Y124" s="52">
        <f t="shared" ref="Y124:Z128" si="16">IF(Y116=1,Y110,0)</f>
        <v>0</v>
      </c>
      <c r="Z124" s="48">
        <f t="shared" si="16"/>
        <v>0</v>
      </c>
      <c r="AB124" s="52">
        <f t="shared" ref="AB124:AC128" si="17">IF(AB116=1,AB110,0)</f>
        <v>0</v>
      </c>
      <c r="AC124" s="48">
        <f t="shared" si="17"/>
        <v>0</v>
      </c>
      <c r="AE124" s="52">
        <f>IF(AE116=1,AE110,0)</f>
        <v>0</v>
      </c>
    </row>
    <row r="125" spans="1:43" s="48" customFormat="1" ht="12.75" customHeight="1" x14ac:dyDescent="0.25">
      <c r="A125" s="48" t="s">
        <v>69</v>
      </c>
      <c r="B125" s="48">
        <f>IF(B117=1,B111,0)</f>
        <v>0</v>
      </c>
      <c r="D125" s="52">
        <f t="shared" si="9"/>
        <v>0</v>
      </c>
      <c r="E125" s="48">
        <f t="shared" si="9"/>
        <v>0</v>
      </c>
      <c r="G125" s="52">
        <f t="shared" si="10"/>
        <v>0</v>
      </c>
      <c r="H125" s="48">
        <f t="shared" si="10"/>
        <v>0</v>
      </c>
      <c r="J125" s="52">
        <f t="shared" si="11"/>
        <v>0</v>
      </c>
      <c r="K125" s="48">
        <f t="shared" si="11"/>
        <v>0</v>
      </c>
      <c r="M125" s="52">
        <f t="shared" si="12"/>
        <v>0</v>
      </c>
      <c r="N125" s="48">
        <f t="shared" si="12"/>
        <v>0</v>
      </c>
      <c r="P125" s="52">
        <f t="shared" si="13"/>
        <v>0</v>
      </c>
      <c r="Q125" s="48">
        <f t="shared" si="13"/>
        <v>0</v>
      </c>
      <c r="S125" s="52">
        <f t="shared" si="14"/>
        <v>0</v>
      </c>
      <c r="T125" s="48">
        <f t="shared" si="14"/>
        <v>0</v>
      </c>
      <c r="V125" s="52">
        <f t="shared" si="15"/>
        <v>0</v>
      </c>
      <c r="W125" s="48">
        <f t="shared" si="15"/>
        <v>0</v>
      </c>
      <c r="Y125" s="52">
        <f t="shared" si="16"/>
        <v>0</v>
      </c>
      <c r="Z125" s="48">
        <f t="shared" si="16"/>
        <v>0</v>
      </c>
      <c r="AB125" s="52">
        <f t="shared" si="17"/>
        <v>0</v>
      </c>
      <c r="AC125" s="48">
        <f t="shared" si="17"/>
        <v>0</v>
      </c>
      <c r="AE125" s="52">
        <f>IF(AE117=1,AE111,0)</f>
        <v>0</v>
      </c>
    </row>
    <row r="126" spans="1:43" s="48" customFormat="1" ht="12.75" customHeight="1" x14ac:dyDescent="0.25">
      <c r="A126" s="48" t="s">
        <v>70</v>
      </c>
      <c r="B126" s="48">
        <f>IF(B118=1,B112,0)</f>
        <v>0</v>
      </c>
      <c r="D126" s="52">
        <f t="shared" si="9"/>
        <v>0</v>
      </c>
      <c r="E126" s="48">
        <f t="shared" si="9"/>
        <v>0</v>
      </c>
      <c r="G126" s="52">
        <f t="shared" si="10"/>
        <v>0</v>
      </c>
      <c r="H126" s="48">
        <f t="shared" si="10"/>
        <v>0</v>
      </c>
      <c r="J126" s="52">
        <f t="shared" si="11"/>
        <v>0</v>
      </c>
      <c r="K126" s="48">
        <f t="shared" si="11"/>
        <v>0</v>
      </c>
      <c r="M126" s="52">
        <f t="shared" si="12"/>
        <v>0</v>
      </c>
      <c r="N126" s="48">
        <f t="shared" si="12"/>
        <v>0</v>
      </c>
      <c r="P126" s="52">
        <f t="shared" si="13"/>
        <v>0</v>
      </c>
      <c r="Q126" s="48">
        <f t="shared" si="13"/>
        <v>0</v>
      </c>
      <c r="S126" s="52">
        <f t="shared" si="14"/>
        <v>0</v>
      </c>
      <c r="T126" s="48">
        <f t="shared" si="14"/>
        <v>0</v>
      </c>
      <c r="V126" s="52">
        <f t="shared" si="15"/>
        <v>0</v>
      </c>
      <c r="W126" s="48">
        <f t="shared" si="15"/>
        <v>0</v>
      </c>
      <c r="Y126" s="52">
        <f t="shared" si="16"/>
        <v>0</v>
      </c>
      <c r="Z126" s="48">
        <f t="shared" si="16"/>
        <v>0</v>
      </c>
      <c r="AB126" s="52">
        <f t="shared" si="17"/>
        <v>0</v>
      </c>
      <c r="AC126" s="48">
        <f t="shared" si="17"/>
        <v>0</v>
      </c>
      <c r="AE126" s="52">
        <f>IF(AE118=1,AE112,0)</f>
        <v>0</v>
      </c>
    </row>
    <row r="127" spans="1:43" s="48" customFormat="1" ht="12.75" customHeight="1" x14ac:dyDescent="0.25">
      <c r="A127" s="48" t="s">
        <v>71</v>
      </c>
      <c r="B127" s="48">
        <f>IF(B119=1,B113,0)</f>
        <v>0</v>
      </c>
      <c r="D127" s="52">
        <f t="shared" si="9"/>
        <v>0</v>
      </c>
      <c r="E127" s="48">
        <f t="shared" si="9"/>
        <v>0</v>
      </c>
      <c r="G127" s="52">
        <f t="shared" si="10"/>
        <v>0</v>
      </c>
      <c r="H127" s="48">
        <f t="shared" si="10"/>
        <v>0</v>
      </c>
      <c r="J127" s="52">
        <f t="shared" si="11"/>
        <v>0</v>
      </c>
      <c r="K127" s="48">
        <f t="shared" si="11"/>
        <v>0</v>
      </c>
      <c r="M127" s="52">
        <f t="shared" si="12"/>
        <v>0</v>
      </c>
      <c r="N127" s="48">
        <f t="shared" si="12"/>
        <v>0</v>
      </c>
      <c r="P127" s="52">
        <f t="shared" si="13"/>
        <v>0</v>
      </c>
      <c r="Q127" s="48">
        <f t="shared" si="13"/>
        <v>0</v>
      </c>
      <c r="S127" s="52">
        <f t="shared" si="14"/>
        <v>0</v>
      </c>
      <c r="T127" s="48">
        <f t="shared" si="14"/>
        <v>0</v>
      </c>
      <c r="V127" s="52">
        <f t="shared" si="15"/>
        <v>0</v>
      </c>
      <c r="W127" s="48">
        <f t="shared" si="15"/>
        <v>0</v>
      </c>
      <c r="Y127" s="52">
        <f t="shared" si="16"/>
        <v>0</v>
      </c>
      <c r="Z127" s="48">
        <f t="shared" si="16"/>
        <v>0</v>
      </c>
      <c r="AB127" s="52">
        <f t="shared" si="17"/>
        <v>0</v>
      </c>
      <c r="AC127" s="48">
        <f t="shared" si="17"/>
        <v>0</v>
      </c>
      <c r="AE127" s="52">
        <f>IF(AE119=1,AE113,0)</f>
        <v>0</v>
      </c>
    </row>
    <row r="128" spans="1:43" s="48" customFormat="1" ht="12.75" customHeight="1" x14ac:dyDescent="0.25">
      <c r="A128" s="48" t="s">
        <v>72</v>
      </c>
      <c r="B128" s="48">
        <f>IF(B120=1,B114,0)</f>
        <v>0</v>
      </c>
      <c r="D128" s="52">
        <f t="shared" si="9"/>
        <v>0</v>
      </c>
      <c r="E128" s="48">
        <f t="shared" si="9"/>
        <v>0</v>
      </c>
      <c r="G128" s="52">
        <f t="shared" si="10"/>
        <v>0</v>
      </c>
      <c r="H128" s="48">
        <f t="shared" si="10"/>
        <v>0</v>
      </c>
      <c r="J128" s="52">
        <f t="shared" si="11"/>
        <v>0</v>
      </c>
      <c r="K128" s="48">
        <f t="shared" si="11"/>
        <v>0</v>
      </c>
      <c r="M128" s="52">
        <f t="shared" si="12"/>
        <v>0</v>
      </c>
      <c r="N128" s="48">
        <f t="shared" si="12"/>
        <v>0</v>
      </c>
      <c r="P128" s="52">
        <f t="shared" si="13"/>
        <v>0</v>
      </c>
      <c r="Q128" s="48">
        <f t="shared" si="13"/>
        <v>0</v>
      </c>
      <c r="S128" s="52">
        <f t="shared" si="14"/>
        <v>0</v>
      </c>
      <c r="T128" s="48">
        <f t="shared" si="14"/>
        <v>0</v>
      </c>
      <c r="V128" s="52">
        <f t="shared" si="15"/>
        <v>0</v>
      </c>
      <c r="W128" s="48">
        <f t="shared" si="15"/>
        <v>0</v>
      </c>
      <c r="Y128" s="52">
        <f t="shared" si="16"/>
        <v>0</v>
      </c>
      <c r="Z128" s="48">
        <f t="shared" si="16"/>
        <v>0</v>
      </c>
      <c r="AB128" s="52">
        <f t="shared" si="17"/>
        <v>0</v>
      </c>
      <c r="AC128" s="48">
        <f t="shared" si="17"/>
        <v>0</v>
      </c>
      <c r="AE128" s="52">
        <f>IF(AE120=1,AE114,0)</f>
        <v>0</v>
      </c>
    </row>
    <row r="129" spans="1:37" s="48" customFormat="1" ht="38.25" customHeight="1" x14ac:dyDescent="0.25">
      <c r="A129" s="51" t="s">
        <v>73</v>
      </c>
      <c r="B129" s="48">
        <f>SUM(B124:D128)</f>
        <v>27</v>
      </c>
      <c r="D129" s="52"/>
      <c r="E129" s="48">
        <f>SUM(E124:G128)</f>
        <v>30</v>
      </c>
      <c r="G129" s="52"/>
      <c r="H129" s="48">
        <f>SUM(H124:J128)</f>
        <v>30</v>
      </c>
      <c r="J129" s="52"/>
      <c r="K129" s="48">
        <f>SUM(K124:M128)</f>
        <v>27</v>
      </c>
      <c r="M129" s="52"/>
      <c r="N129" s="48">
        <f>SUM(N124:P128)</f>
        <v>24</v>
      </c>
      <c r="P129" s="52"/>
      <c r="Q129" s="48">
        <f>SUM(Q124:S128)</f>
        <v>30</v>
      </c>
      <c r="S129" s="52"/>
      <c r="T129" s="48">
        <f>SUM(T124:V128)</f>
        <v>0</v>
      </c>
      <c r="V129" s="52"/>
      <c r="W129" s="48">
        <f>SUM(W124:Y128)</f>
        <v>0</v>
      </c>
      <c r="Y129" s="52"/>
      <c r="Z129" s="48">
        <f>SUM(Z124:AB128)</f>
        <v>0</v>
      </c>
      <c r="AB129" s="52"/>
      <c r="AC129" s="48">
        <f>SUM(AC124:AE128)</f>
        <v>0</v>
      </c>
      <c r="AE129" s="52"/>
    </row>
    <row r="130" spans="1:37" s="48" customFormat="1" ht="38.25" customHeight="1" x14ac:dyDescent="0.25">
      <c r="A130" s="48" t="s">
        <v>74</v>
      </c>
      <c r="D130" s="52"/>
      <c r="G130" s="52"/>
      <c r="J130" s="52"/>
      <c r="M130" s="52"/>
      <c r="P130" s="52"/>
      <c r="S130" s="52"/>
      <c r="V130" s="52"/>
      <c r="Y130" s="52"/>
      <c r="AB130" s="52"/>
      <c r="AE130" s="52"/>
      <c r="AF130" s="51" t="s">
        <v>75</v>
      </c>
      <c r="AG130" s="48" t="s">
        <v>76</v>
      </c>
    </row>
    <row r="131" spans="1:37" s="48" customFormat="1" ht="12.75" customHeight="1" x14ac:dyDescent="0.25">
      <c r="A131" s="48" t="s">
        <v>77</v>
      </c>
      <c r="B131" s="48">
        <f>IF(B109=1,IF(B122=1,1,0),0)</f>
        <v>0</v>
      </c>
      <c r="D131" s="52">
        <f>IF(D109=1,IF(D122=1,1,0),0)</f>
        <v>0</v>
      </c>
      <c r="E131" s="48">
        <f>IF(E109=1,IF(E122=1,1,0),0)</f>
        <v>1</v>
      </c>
      <c r="G131" s="52">
        <f>IF(G109=1,IF(G122=1,1,0),0)</f>
        <v>0</v>
      </c>
      <c r="H131" s="48">
        <f>IF(H109=1,IF(H122=1,1,0),0)</f>
        <v>0</v>
      </c>
      <c r="J131" s="52">
        <f>IF(J109=1,IF(J122=1,1,0),0)</f>
        <v>0</v>
      </c>
      <c r="K131" s="48">
        <f>IF(K109=1,IF(K122=1,1,0),0)</f>
        <v>0</v>
      </c>
      <c r="M131" s="52">
        <f>IF(M109=1,IF(M122=1,1,0),0)</f>
        <v>0</v>
      </c>
      <c r="N131" s="48">
        <f>IF(N109=1,IF(N122=1,1,0),0)</f>
        <v>0</v>
      </c>
      <c r="P131" s="52">
        <f>IF(P109=1,IF(P122=1,1,0),0)</f>
        <v>0</v>
      </c>
      <c r="Q131" s="48">
        <f>IF(Q109=1,IF(Q122=1,1,0),0)</f>
        <v>1</v>
      </c>
      <c r="S131" s="52">
        <f>IF(S109=1,IF(S122=1,1,0),0)</f>
        <v>0</v>
      </c>
      <c r="T131" s="48">
        <f>IF(T109=1,IF(T122=1,1,0),0)</f>
        <v>0</v>
      </c>
      <c r="V131" s="52">
        <f>IF(V109=1,IF(V122=1,1,0),0)</f>
        <v>0</v>
      </c>
      <c r="W131" s="48">
        <f>IF(W109=1,IF(W122=1,1,0),0)</f>
        <v>0</v>
      </c>
      <c r="Y131" s="52">
        <f>IF(Y109=1,IF(Y122=1,1,0),0)</f>
        <v>0</v>
      </c>
      <c r="Z131" s="48">
        <f>IF(Z109=1,IF(Z122=1,1,0),0)</f>
        <v>0</v>
      </c>
      <c r="AB131" s="52">
        <f>IF(AB109=1,IF(AB122=1,1,0),0)</f>
        <v>0</v>
      </c>
      <c r="AC131" s="48">
        <f>IF(AC109=1,IF(AC122=1,1,0),0)</f>
        <v>0</v>
      </c>
      <c r="AE131" s="52">
        <f>IF(AE109=1,IF(AE122=1,1,0),0)</f>
        <v>0</v>
      </c>
      <c r="AF131" s="48">
        <f>SUM(B131:AE131)</f>
        <v>2</v>
      </c>
      <c r="AG131" s="48">
        <f>AF137-AF131</f>
        <v>1</v>
      </c>
    </row>
    <row r="132" spans="1:37" s="48" customFormat="1" ht="12.75" customHeight="1" x14ac:dyDescent="0.25">
      <c r="A132" s="48" t="s">
        <v>78</v>
      </c>
      <c r="B132" s="48">
        <f>IF(B109=2,IF(B122=1,1,0),0)</f>
        <v>1</v>
      </c>
      <c r="D132" s="52">
        <f>IF(D109=2,IF(D122=1,1,0),0)</f>
        <v>0</v>
      </c>
      <c r="E132" s="48">
        <f>IF(E109=2,IF(E122=1,1,0),0)</f>
        <v>0</v>
      </c>
      <c r="G132" s="52">
        <f>IF(G109=2,IF(G122=1,1,0),0)</f>
        <v>0</v>
      </c>
      <c r="H132" s="48">
        <f>IF(H109=2,IF(H122=1,1,0),0)</f>
        <v>1</v>
      </c>
      <c r="J132" s="52">
        <f>IF(J109=2,IF(J122=1,1,0),0)</f>
        <v>0</v>
      </c>
      <c r="K132" s="48">
        <f>IF(K109=2,IF(K122=1,1,0),0)</f>
        <v>0</v>
      </c>
      <c r="M132" s="52">
        <f>IF(M109=2,IF(M122=1,1,0),0)</f>
        <v>0</v>
      </c>
      <c r="N132" s="48">
        <f>IF(N109=2,IF(N122=1,1,0),0)</f>
        <v>0</v>
      </c>
      <c r="P132" s="52">
        <f>IF(P109=2,IF(P122=1,1,0),0)</f>
        <v>0</v>
      </c>
      <c r="Q132" s="48">
        <f>IF(Q109=2,IF(Q122=1,1,0),0)</f>
        <v>0</v>
      </c>
      <c r="S132" s="52">
        <f>IF(S109=2,IF(S122=1,1,0),0)</f>
        <v>0</v>
      </c>
      <c r="T132" s="48">
        <f>IF(T109=2,IF(T122=1,1,0),0)</f>
        <v>0</v>
      </c>
      <c r="V132" s="52">
        <f>IF(V109=2,IF(V122=1,1,0),0)</f>
        <v>0</v>
      </c>
      <c r="W132" s="48">
        <f>IF(W109=2,IF(W122=1,1,0),0)</f>
        <v>0</v>
      </c>
      <c r="Y132" s="52">
        <f>IF(Y109=2,IF(Y122=1,1,0),0)</f>
        <v>0</v>
      </c>
      <c r="Z132" s="48">
        <f>IF(Z109=2,IF(Z122=1,1,0),0)</f>
        <v>0</v>
      </c>
      <c r="AB132" s="52">
        <f>IF(AB109=2,IF(AB122=1,1,0),0)</f>
        <v>0</v>
      </c>
      <c r="AC132" s="48">
        <f>IF(AC109=2,IF(AC122=1,1,0),0)</f>
        <v>0</v>
      </c>
      <c r="AE132" s="52">
        <f>IF(AE109=2,IF(AE122=1,1,0),0)</f>
        <v>0</v>
      </c>
      <c r="AF132" s="48">
        <f>SUM(B132:AE132)</f>
        <v>2</v>
      </c>
      <c r="AG132" s="48">
        <f>AF138-AF132</f>
        <v>1</v>
      </c>
    </row>
    <row r="133" spans="1:37" s="48" customFormat="1" ht="12.75" customHeight="1" x14ac:dyDescent="0.25">
      <c r="A133" s="48" t="s">
        <v>79</v>
      </c>
      <c r="B133" s="48">
        <f>IF(B109=3,IF(B122=1,1,0),0)</f>
        <v>0</v>
      </c>
      <c r="D133" s="52">
        <f>IF(D109=3,IF(D122=1,1,0),0)</f>
        <v>0</v>
      </c>
      <c r="E133" s="48">
        <f>IF(E109=3,IF(E122=1,1,0),0)</f>
        <v>0</v>
      </c>
      <c r="G133" s="52">
        <f>IF(G109=3,IF(G122=1,1,0),0)</f>
        <v>0</v>
      </c>
      <c r="H133" s="48">
        <f>IF(H109=3,IF(H122=1,1,0),0)</f>
        <v>0</v>
      </c>
      <c r="J133" s="52">
        <f>IF(J109=3,IF(J122=1,1,0),0)</f>
        <v>0</v>
      </c>
      <c r="K133" s="48">
        <f>IF(K109=3,IF(K122=1,1,0),0)</f>
        <v>0</v>
      </c>
      <c r="M133" s="52">
        <f>IF(M109=3,IF(M122=1,1,0),0)</f>
        <v>1</v>
      </c>
      <c r="N133" s="48">
        <f>IF(N109=3,IF(N122=1,1,0),0)</f>
        <v>0</v>
      </c>
      <c r="P133" s="52">
        <f>IF(P109=3,IF(P122=1,1,0),0)</f>
        <v>0</v>
      </c>
      <c r="Q133" s="48">
        <f>IF(Q109=3,IF(Q122=1,1,0),0)</f>
        <v>0</v>
      </c>
      <c r="S133" s="52">
        <f>IF(S109=3,IF(S122=1,1,0),0)</f>
        <v>0</v>
      </c>
      <c r="T133" s="48">
        <f>IF(T109=3,IF(T122=1,1,0),0)</f>
        <v>0</v>
      </c>
      <c r="V133" s="52">
        <f>IF(V109=3,IF(V122=1,1,0),0)</f>
        <v>0</v>
      </c>
      <c r="W133" s="48">
        <f>IF(W109=3,IF(W122=1,1,0),0)</f>
        <v>0</v>
      </c>
      <c r="Y133" s="52">
        <f>IF(Y109=3,IF(Y122=1,1,0),0)</f>
        <v>0</v>
      </c>
      <c r="Z133" s="48">
        <f>IF(Z109=3,IF(Z122=1,1,0),0)</f>
        <v>0</v>
      </c>
      <c r="AB133" s="52">
        <f>IF(AB109=3,IF(AB122=1,1,0),0)</f>
        <v>0</v>
      </c>
      <c r="AC133" s="48">
        <f>IF(AC109=3,IF(AC122=1,1,0),0)</f>
        <v>0</v>
      </c>
      <c r="AE133" s="52">
        <f>IF(AE109=3,IF(AE122=1,1,0),0)</f>
        <v>0</v>
      </c>
      <c r="AF133" s="48">
        <f>SUM(B133:AE133)</f>
        <v>1</v>
      </c>
      <c r="AG133" s="48">
        <f>AF139-AF133</f>
        <v>2</v>
      </c>
    </row>
    <row r="134" spans="1:37" s="48" customFormat="1" ht="12.75" customHeight="1" x14ac:dyDescent="0.25">
      <c r="A134" s="48" t="s">
        <v>80</v>
      </c>
      <c r="B134" s="48">
        <f>IF(B109=4,IF(B122=1,1,0),0)</f>
        <v>0</v>
      </c>
      <c r="D134" s="52">
        <f>IF(D109=4,IF(D122=1,1,0),0)</f>
        <v>0</v>
      </c>
      <c r="E134" s="48">
        <f>IF(E109=4,IF(E122=1,1,0),0)</f>
        <v>0</v>
      </c>
      <c r="G134" s="52">
        <f>IF(G109=4,IF(G122=1,1,0),0)</f>
        <v>0</v>
      </c>
      <c r="H134" s="48">
        <f>IF(H109=4,IF(H122=1,1,0),0)</f>
        <v>0</v>
      </c>
      <c r="J134" s="52">
        <f>IF(J109=4,IF(J122=1,1,0),0)</f>
        <v>0</v>
      </c>
      <c r="K134" s="48">
        <f>IF(K109=4,IF(K122=1,1,0),0)</f>
        <v>0</v>
      </c>
      <c r="M134" s="52">
        <f>IF(M109=4,IF(M122=1,1,0),0)</f>
        <v>0</v>
      </c>
      <c r="N134" s="48">
        <f>IF(N109=4,IF(N122=1,1,0),0)</f>
        <v>0</v>
      </c>
      <c r="P134" s="52">
        <f>IF(P109=4,IF(P122=1,1,0),0)</f>
        <v>1</v>
      </c>
      <c r="Q134" s="48">
        <f>IF(Q109=4,IF(Q122=1,1,0),0)</f>
        <v>0</v>
      </c>
      <c r="S134" s="52">
        <f>IF(S109=4,IF(S122=1,1,0),0)</f>
        <v>0</v>
      </c>
      <c r="T134" s="48">
        <f>IF(T109=4,IF(T122=1,1,0),0)</f>
        <v>0</v>
      </c>
      <c r="V134" s="52">
        <f>IF(V109=4,IF(V122=1,1,0),0)</f>
        <v>0</v>
      </c>
      <c r="W134" s="48">
        <f>IF(W109=4,IF(W122=1,1,0),0)</f>
        <v>0</v>
      </c>
      <c r="Y134" s="52">
        <f>IF(Y109=4,IF(Y122=1,1,0),0)</f>
        <v>0</v>
      </c>
      <c r="Z134" s="48">
        <f>IF(Z109=4,IF(Z122=1,1,0),0)</f>
        <v>0</v>
      </c>
      <c r="AB134" s="52">
        <f>IF(AB109=4,IF(AB122=1,1,0),0)</f>
        <v>0</v>
      </c>
      <c r="AC134" s="48">
        <f>IF(AC109=4,IF(AC122=1,1,0),0)</f>
        <v>0</v>
      </c>
      <c r="AE134" s="52">
        <f>IF(AE109=4,IF(AE122=1,1,0),0)</f>
        <v>0</v>
      </c>
      <c r="AF134" s="48">
        <f>SUM(B134:AE134)</f>
        <v>1</v>
      </c>
      <c r="AG134" s="48">
        <f>AF140-AF134</f>
        <v>2</v>
      </c>
    </row>
    <row r="135" spans="1:37" s="48" customFormat="1" ht="12.75" customHeight="1" x14ac:dyDescent="0.25">
      <c r="A135" s="48" t="s">
        <v>81</v>
      </c>
      <c r="B135" s="48">
        <f>IF(B109=5,IF(B122=1,1,0),0)</f>
        <v>0</v>
      </c>
      <c r="D135" s="52">
        <f>IF(D109=5,IF(D122=1,1,0),0)</f>
        <v>0</v>
      </c>
      <c r="E135" s="48">
        <f>IF(E109=5,IF(E122=1,1,0),0)</f>
        <v>0</v>
      </c>
      <c r="G135" s="52">
        <f>IF(G109=5,IF(G122=1,1,0),0)</f>
        <v>0</v>
      </c>
      <c r="H135" s="48">
        <f>IF(H109=5,IF(H122=1,1,0),0)</f>
        <v>0</v>
      </c>
      <c r="J135" s="52">
        <f>IF(J109=5,IF(J122=1,1,0),0)</f>
        <v>0</v>
      </c>
      <c r="K135" s="48">
        <f>IF(K109=5,IF(K122=1,1,0),0)</f>
        <v>0</v>
      </c>
      <c r="M135" s="52">
        <f>IF(M109=5,IF(M122=1,1,0),0)</f>
        <v>0</v>
      </c>
      <c r="N135" s="48">
        <f>IF(N109=5,IF(N122=1,1,0),0)</f>
        <v>0</v>
      </c>
      <c r="P135" s="52">
        <f>IF(P109=5,IF(P122=1,1,0),0)</f>
        <v>0</v>
      </c>
      <c r="Q135" s="48">
        <f>IF(Q109=5,IF(Q122=1,1,0),0)</f>
        <v>0</v>
      </c>
      <c r="S135" s="52">
        <f>IF(S109=5,IF(S122=1,1,0),0)</f>
        <v>0</v>
      </c>
      <c r="T135" s="48">
        <f>IF(T109=5,IF(T122=1,1,0),0)</f>
        <v>0</v>
      </c>
      <c r="V135" s="52">
        <f>IF(V109=5,IF(V122=1,1,0),0)</f>
        <v>0</v>
      </c>
      <c r="W135" s="48">
        <f>IF(W109=5,IF(W122=1,1,0),0)</f>
        <v>0</v>
      </c>
      <c r="Y135" s="52">
        <f>IF(Y109=5,IF(Y122=1,1,0),0)</f>
        <v>0</v>
      </c>
      <c r="Z135" s="48">
        <f>IF(Z109=5,IF(Z122=1,1,0),0)</f>
        <v>0</v>
      </c>
      <c r="AB135" s="52">
        <f>IF(AB109=5,IF(AB122=1,1,0),0)</f>
        <v>0</v>
      </c>
      <c r="AC135" s="48">
        <f>IF(AC109=5,IF(AC122=1,1,0),0)</f>
        <v>0</v>
      </c>
      <c r="AE135" s="52">
        <f>IF(AE109=5,IF(AE122=1,1,0),0)</f>
        <v>0</v>
      </c>
      <c r="AF135" s="48">
        <f>SUM(B135:AE135)</f>
        <v>0</v>
      </c>
      <c r="AG135" s="48">
        <f>AF141-AF135</f>
        <v>0</v>
      </c>
    </row>
    <row r="136" spans="1:37" s="48" customFormat="1" ht="38.25" customHeight="1" x14ac:dyDescent="0.25">
      <c r="A136" s="51"/>
      <c r="D136" s="52"/>
      <c r="G136" s="52"/>
      <c r="J136" s="52"/>
      <c r="M136" s="52"/>
      <c r="P136" s="52"/>
      <c r="S136" s="52"/>
      <c r="V136" s="52"/>
      <c r="Y136" s="52"/>
      <c r="AB136" s="52"/>
      <c r="AE136" s="52"/>
      <c r="AF136" s="51" t="s">
        <v>82</v>
      </c>
    </row>
    <row r="137" spans="1:37" s="48" customFormat="1" ht="12.75" customHeight="1" x14ac:dyDescent="0.25">
      <c r="A137" s="48" t="s">
        <v>83</v>
      </c>
      <c r="B137" s="48">
        <f>IF(B109=1,IF(C122=1,1,0),0)</f>
        <v>0</v>
      </c>
      <c r="D137" s="52">
        <f>IF(D109=1,IF(C122=1,1,0),0)</f>
        <v>0</v>
      </c>
      <c r="E137" s="48">
        <f>IF(E109=1,IF(F122=1,1,0),0)</f>
        <v>1</v>
      </c>
      <c r="G137" s="52">
        <f>IF(G109=1,IF(F122=1,1,0),0)</f>
        <v>0</v>
      </c>
      <c r="H137" s="48">
        <f>IF(H109=1,IF(I122=1,1,0),0)</f>
        <v>0</v>
      </c>
      <c r="J137" s="52">
        <f>IF(J109=1,IF(I122=1,1,0),0)</f>
        <v>0</v>
      </c>
      <c r="K137" s="48">
        <f>IF(K109=1,IF(L122=1,1,0),0)</f>
        <v>1</v>
      </c>
      <c r="M137" s="52">
        <f>IF(M109=1,IF(L122=1,1,0),0)</f>
        <v>0</v>
      </c>
      <c r="N137" s="48">
        <f>IF(N109=1,IF(O122=1,1,0),0)</f>
        <v>0</v>
      </c>
      <c r="P137" s="52">
        <f>IF(P109=1,IF(O122=1,1,0),0)</f>
        <v>0</v>
      </c>
      <c r="Q137" s="48">
        <f>IF(Q109=1,IF(R122=1,1,0),0)</f>
        <v>1</v>
      </c>
      <c r="S137" s="52">
        <f>IF(S109=1,IF(R122=1,1,0),0)</f>
        <v>0</v>
      </c>
      <c r="T137" s="48">
        <f>IF(T109=1,IF(U122=1,1,0),0)</f>
        <v>0</v>
      </c>
      <c r="V137" s="52">
        <f>IF(V109=1,IF(U122=1,1,0),0)</f>
        <v>0</v>
      </c>
      <c r="W137" s="48">
        <f>IF(W109=1,IF(X122=1,1,0),0)</f>
        <v>0</v>
      </c>
      <c r="Y137" s="52">
        <f>IF(Y109=1,IF(X122=1,1,0),0)</f>
        <v>0</v>
      </c>
      <c r="Z137" s="48">
        <f>IF(Z109=1,IF(AA122=1,1,0),0)</f>
        <v>0</v>
      </c>
      <c r="AB137" s="52">
        <f>IF(AB109=1,IF(AA122=1,1,0),0)</f>
        <v>0</v>
      </c>
      <c r="AC137" s="48">
        <f>IF(AC109=1,IF(AD122=1,1,0),0)</f>
        <v>0</v>
      </c>
      <c r="AE137" s="52">
        <f>IF(AE109=1,IF(AD122=1,1,0),0)</f>
        <v>0</v>
      </c>
      <c r="AF137" s="48">
        <f>SUM(B137:AE137)</f>
        <v>3</v>
      </c>
    </row>
    <row r="138" spans="1:37" s="48" customFormat="1" ht="12.75" customHeight="1" x14ac:dyDescent="0.25">
      <c r="A138" s="48" t="s">
        <v>84</v>
      </c>
      <c r="B138" s="48">
        <f>IF(B109=2,IF(C122=1,1,0),0)</f>
        <v>1</v>
      </c>
      <c r="D138" s="52">
        <f>IF(D109=2,IF(C122=1,1,0),0)</f>
        <v>0</v>
      </c>
      <c r="E138" s="48">
        <f>IF(E109=2,IF(F122=1,1,0),0)</f>
        <v>0</v>
      </c>
      <c r="G138" s="52">
        <f>IF(G109=2,IF(F122=1,1,0),0)</f>
        <v>0</v>
      </c>
      <c r="H138" s="48">
        <f>IF(H109=2,IF(I122=1,1,0),0)</f>
        <v>1</v>
      </c>
      <c r="J138" s="52">
        <f>IF(J109=2,IF(I122=1,1,0),0)</f>
        <v>0</v>
      </c>
      <c r="K138" s="48">
        <f>IF(K109=2,IF(L122=1,1,0),0)</f>
        <v>0</v>
      </c>
      <c r="M138" s="52">
        <f>IF(M109=2,IF(L122=1,1,0),0)</f>
        <v>0</v>
      </c>
      <c r="N138" s="48">
        <f>IF(N109=2,IF(O122=1,1,0),0)</f>
        <v>0</v>
      </c>
      <c r="P138" s="52">
        <f>IF(P109=2,IF(O122=1,1,0),0)</f>
        <v>0</v>
      </c>
      <c r="Q138" s="48">
        <f>IF(Q109=2,IF(R122=1,1,0),0)</f>
        <v>0</v>
      </c>
      <c r="S138" s="52">
        <f>IF(S109=2,IF(R122=1,1,0),0)</f>
        <v>1</v>
      </c>
      <c r="T138" s="48">
        <f>IF(T109=2,IF(U122=1,1,0),0)</f>
        <v>0</v>
      </c>
      <c r="V138" s="52">
        <f>IF(V109=2,IF(U122=1,1,0),0)</f>
        <v>0</v>
      </c>
      <c r="W138" s="48">
        <f>IF(W109=2,IF(X122=1,1,0),0)</f>
        <v>0</v>
      </c>
      <c r="Y138" s="52">
        <f>IF(Y109=2,IF(X122=1,1,0),0)</f>
        <v>0</v>
      </c>
      <c r="Z138" s="48">
        <f>IF(Z109=2,IF(AA122=1,1,0),0)</f>
        <v>0</v>
      </c>
      <c r="AB138" s="52">
        <f>IF(AB109=2,IF(AA122=1,1,0),0)</f>
        <v>0</v>
      </c>
      <c r="AC138" s="48">
        <f>IF(AC109=2,IF(AD122=1,1,0),0)</f>
        <v>0</v>
      </c>
      <c r="AE138" s="52">
        <f>IF(AE109=2,IF(AD122=1,1,0),0)</f>
        <v>0</v>
      </c>
      <c r="AF138" s="48">
        <f>SUM(B138:AE138)</f>
        <v>3</v>
      </c>
    </row>
    <row r="139" spans="1:37" s="48" customFormat="1" ht="12.75" customHeight="1" x14ac:dyDescent="0.25">
      <c r="A139" s="48" t="s">
        <v>85</v>
      </c>
      <c r="B139" s="48">
        <f>IF(B109=3,IF(C122=1,1,0),0)</f>
        <v>0</v>
      </c>
      <c r="D139" s="52">
        <f>IF(D109=3,IF(C122=1,1,0),0)</f>
        <v>1</v>
      </c>
      <c r="E139" s="48">
        <f>IF(E109=3,IF(F122=1,1,0),0)</f>
        <v>0</v>
      </c>
      <c r="G139" s="52">
        <f>IF(G109=3,IF(F122=1,1,0),0)</f>
        <v>0</v>
      </c>
      <c r="H139" s="48">
        <f>IF(H109=3,IF(I122=1,1,0),0)</f>
        <v>0</v>
      </c>
      <c r="J139" s="52">
        <f>IF(J109=3,IF(I122=1,1,0),0)</f>
        <v>0</v>
      </c>
      <c r="K139" s="48">
        <f>IF(K109=3,IF(L122=1,1,0),0)</f>
        <v>0</v>
      </c>
      <c r="M139" s="52">
        <f>IF(M109=3,IF(L122=1,1,0),0)</f>
        <v>1</v>
      </c>
      <c r="N139" s="48">
        <f>IF(N109=3,IF(O122=1,1,0),0)</f>
        <v>1</v>
      </c>
      <c r="P139" s="52">
        <f>IF(P109=3,IF(O122=1,1,0),0)</f>
        <v>0</v>
      </c>
      <c r="Q139" s="48">
        <f>IF(Q109=3,IF(R122=1,1,0),0)</f>
        <v>0</v>
      </c>
      <c r="S139" s="52">
        <f>IF(S109=3,IF(R122=1,1,0),0)</f>
        <v>0</v>
      </c>
      <c r="T139" s="48">
        <f>IF(T109=3,IF(U122=1,1,0),0)</f>
        <v>0</v>
      </c>
      <c r="V139" s="52">
        <f>IF(V109=3,IF(U122=1,1,0),0)</f>
        <v>0</v>
      </c>
      <c r="W139" s="48">
        <f>IF(W109=3,IF(X122=1,1,0),0)</f>
        <v>0</v>
      </c>
      <c r="Y139" s="52">
        <f>IF(Y109=3,IF(X122=1,1,0),0)</f>
        <v>0</v>
      </c>
      <c r="Z139" s="48">
        <f>IF(Z109=3,IF(AA122=1,1,0),0)</f>
        <v>0</v>
      </c>
      <c r="AB139" s="52">
        <f>IF(AB109=3,IF(AA122=1,1,0),0)</f>
        <v>0</v>
      </c>
      <c r="AC139" s="48">
        <f>IF(AC109=3,IF(AD122=1,1,0),0)</f>
        <v>0</v>
      </c>
      <c r="AE139" s="52">
        <f>IF(AE109=3,IF(AD122=1,1,0),0)</f>
        <v>0</v>
      </c>
      <c r="AF139" s="48">
        <f>SUM(B139:AE139)</f>
        <v>3</v>
      </c>
    </row>
    <row r="140" spans="1:37" s="48" customFormat="1" ht="12.75" customHeight="1" x14ac:dyDescent="0.25">
      <c r="A140" s="48" t="s">
        <v>86</v>
      </c>
      <c r="B140" s="48">
        <f>IF(B109=4,IF(C122=1,1,0),0)</f>
        <v>0</v>
      </c>
      <c r="D140" s="52">
        <f>IF(D109=4,IF(C122=1,1,0),0)</f>
        <v>0</v>
      </c>
      <c r="E140" s="48">
        <f>IF(E109=4,IF(F122=1,1,0),0)</f>
        <v>0</v>
      </c>
      <c r="G140" s="52">
        <f>IF(G109=4,IF(F122=1,1,0),0)</f>
        <v>1</v>
      </c>
      <c r="H140" s="48">
        <f>IF(H109=4,IF(I122=1,1,0),0)</f>
        <v>0</v>
      </c>
      <c r="J140" s="52">
        <f>IF(J109=4,IF(I122=1,1,0),0)</f>
        <v>1</v>
      </c>
      <c r="K140" s="48">
        <f>IF(K109=4,IF(L122=1,1,0),0)</f>
        <v>0</v>
      </c>
      <c r="M140" s="52">
        <f>IF(M109=4,IF(L122=1,1,0),0)</f>
        <v>0</v>
      </c>
      <c r="N140" s="48">
        <f>IF(N109=4,IF(O122=1,1,0),0)</f>
        <v>0</v>
      </c>
      <c r="P140" s="52">
        <f>IF(P109=4,IF(O122=1,1,0),0)</f>
        <v>1</v>
      </c>
      <c r="Q140" s="48">
        <f>IF(Q109=4,IF(R122=1,1,0),0)</f>
        <v>0</v>
      </c>
      <c r="S140" s="52">
        <f>IF(S109=4,IF(R122=1,1,0),0)</f>
        <v>0</v>
      </c>
      <c r="T140" s="48">
        <f>IF(T109=4,IF(U122=1,1,0),0)</f>
        <v>0</v>
      </c>
      <c r="V140" s="52">
        <f>IF(V109=4,IF(U122=1,1,0),0)</f>
        <v>0</v>
      </c>
      <c r="W140" s="48">
        <f>IF(W109=4,IF(X122=1,1,0),0)</f>
        <v>0</v>
      </c>
      <c r="Y140" s="52">
        <f>IF(Y109=4,IF(X122=1,1,0),0)</f>
        <v>0</v>
      </c>
      <c r="Z140" s="48">
        <f>IF(Z109=4,IF(AA122=1,1,0),0)</f>
        <v>0</v>
      </c>
      <c r="AB140" s="52">
        <f>IF(AB109=4,IF(AA122=1,1,0),0)</f>
        <v>0</v>
      </c>
      <c r="AC140" s="48">
        <f>IF(AC109=4,IF(AD122=1,1,0),0)</f>
        <v>0</v>
      </c>
      <c r="AE140" s="52">
        <f>IF(AE109=4,IF(AD122=1,1,0),0)</f>
        <v>0</v>
      </c>
      <c r="AF140" s="48">
        <f>SUM(B140:AE140)</f>
        <v>3</v>
      </c>
    </row>
    <row r="141" spans="1:37" s="48" customFormat="1" ht="12.75" customHeight="1" x14ac:dyDescent="0.25">
      <c r="A141" s="48" t="s">
        <v>87</v>
      </c>
      <c r="B141" s="48">
        <f>IF(B109=5,IF(C122=1,1,0),0)</f>
        <v>0</v>
      </c>
      <c r="D141" s="52">
        <f>IF(D109=5,IF(C122=1,1,0),0)</f>
        <v>0</v>
      </c>
      <c r="E141" s="48">
        <f>IF(E109=5,IF(F122=1,1,0),0)</f>
        <v>0</v>
      </c>
      <c r="G141" s="52">
        <f>IF(G109=5,IF(F122=1,1,0),0)</f>
        <v>0</v>
      </c>
      <c r="H141" s="48">
        <f>IF(H109=5,IF(I122=1,1,0),0)</f>
        <v>0</v>
      </c>
      <c r="J141" s="52">
        <f>IF(J109=5,IF(I122=1,1,0),0)</f>
        <v>0</v>
      </c>
      <c r="K141" s="48">
        <f>IF(K109=5,IF(L122=1,1,0),0)</f>
        <v>0</v>
      </c>
      <c r="M141" s="52">
        <f>IF(M109=5,IF(L122=1,1,0),0)</f>
        <v>0</v>
      </c>
      <c r="N141" s="48">
        <f>IF(N109=5,IF(O122=1,1,0),0)</f>
        <v>0</v>
      </c>
      <c r="P141" s="52">
        <f>IF(P109=5,IF(O122=1,1,0),0)</f>
        <v>0</v>
      </c>
      <c r="Q141" s="48">
        <f>IF(Q109=5,IF(R122=1,1,0),0)</f>
        <v>0</v>
      </c>
      <c r="S141" s="52">
        <f>IF(S109=5,IF(R122=1,1,0),0)</f>
        <v>0</v>
      </c>
      <c r="T141" s="48">
        <f>IF(T109=5,IF(U122=1,1,0),0)</f>
        <v>0</v>
      </c>
      <c r="V141" s="52">
        <f>IF(V109=5,IF(U122=1,1,0),0)</f>
        <v>0</v>
      </c>
      <c r="W141" s="48">
        <f>IF(W109=5,IF(X122=1,1,0),0)</f>
        <v>0</v>
      </c>
      <c r="Y141" s="52">
        <f>IF(Y109=5,IF(X122=1,1,0),0)</f>
        <v>0</v>
      </c>
      <c r="Z141" s="48">
        <f>IF(Z109=5,IF(AA122=1,1,0),0)</f>
        <v>0</v>
      </c>
      <c r="AB141" s="52">
        <f>IF(AB109=5,IF(AA122=1,1,0),0)</f>
        <v>0</v>
      </c>
      <c r="AC141" s="48">
        <f>IF(AC109=5,IF(AD122=1,1,0),0)</f>
        <v>0</v>
      </c>
      <c r="AE141" s="52">
        <f>IF(AE109=5,IF(AD122=1,1,0),0)</f>
        <v>0</v>
      </c>
      <c r="AF141" s="48">
        <f>SUM(B141:AE141)</f>
        <v>0</v>
      </c>
    </row>
    <row r="142" spans="1:37" s="48" customFormat="1" ht="38.25" customHeight="1" x14ac:dyDescent="0.25">
      <c r="A142" s="51"/>
      <c r="D142" s="52"/>
      <c r="G142" s="52"/>
      <c r="J142" s="52"/>
      <c r="M142" s="52"/>
      <c r="P142" s="52"/>
      <c r="S142" s="52"/>
      <c r="V142" s="52"/>
      <c r="Y142" s="52"/>
      <c r="AB142" s="52"/>
      <c r="AE142" s="52"/>
      <c r="AF142" s="51" t="s">
        <v>88</v>
      </c>
      <c r="AG142" s="150"/>
      <c r="AH142" s="150"/>
      <c r="AI142" s="150"/>
      <c r="AJ142" s="150"/>
      <c r="AK142" s="150"/>
    </row>
    <row r="143" spans="1:37" s="48" customFormat="1" ht="12.75" customHeight="1" x14ac:dyDescent="0.25">
      <c r="A143" s="48" t="s">
        <v>83</v>
      </c>
      <c r="B143" s="48">
        <f>IF(B109=1,B129,0)</f>
        <v>0</v>
      </c>
      <c r="D143" s="52">
        <f>IF(D109=1,B129,0)</f>
        <v>0</v>
      </c>
      <c r="E143" s="48">
        <f>IF(E109=1,E129,0)</f>
        <v>30</v>
      </c>
      <c r="G143" s="52">
        <f>IF(G109=1,E129,0)</f>
        <v>0</v>
      </c>
      <c r="H143" s="48">
        <f>IF(H109=1,H129,0)</f>
        <v>0</v>
      </c>
      <c r="J143" s="52">
        <f>IF(J109=1,H129,0)</f>
        <v>0</v>
      </c>
      <c r="K143" s="48">
        <f>IF(K109=1,K129,0)</f>
        <v>27</v>
      </c>
      <c r="M143" s="52">
        <f>IF(M109=1,K129,0)</f>
        <v>0</v>
      </c>
      <c r="N143" s="48">
        <f>IF(N109=1,N129,0)</f>
        <v>0</v>
      </c>
      <c r="P143" s="52">
        <f>IF(P109=1,N129,0)</f>
        <v>0</v>
      </c>
      <c r="Q143" s="48">
        <f>IF(Q109=1,Q129,0)</f>
        <v>30</v>
      </c>
      <c r="S143" s="52">
        <f>IF(S109=1,Q129,0)</f>
        <v>0</v>
      </c>
      <c r="T143" s="48">
        <f>IF(T109=1,T129,0)</f>
        <v>0</v>
      </c>
      <c r="V143" s="52">
        <f>IF(V109=1,T129,0)</f>
        <v>0</v>
      </c>
      <c r="W143" s="48">
        <f>IF(W109=1,W129,0)</f>
        <v>0</v>
      </c>
      <c r="Y143" s="52">
        <f>IF(Y109=1,W129,0)</f>
        <v>0</v>
      </c>
      <c r="Z143" s="48">
        <f>IF(Z109=1,Z129,0)</f>
        <v>0</v>
      </c>
      <c r="AB143" s="52">
        <f>IF(AB109=1,Z129,0)</f>
        <v>0</v>
      </c>
      <c r="AC143" s="48">
        <f>IF(AC109=1,AC129,0)</f>
        <v>0</v>
      </c>
      <c r="AE143" s="52">
        <f>IF(AE109=1,AC129,0)</f>
        <v>0</v>
      </c>
      <c r="AF143" s="48">
        <f>SUM(B143:AE143)</f>
        <v>87</v>
      </c>
    </row>
    <row r="144" spans="1:37" s="48" customFormat="1" ht="12.75" customHeight="1" x14ac:dyDescent="0.25">
      <c r="A144" s="48" t="s">
        <v>84</v>
      </c>
      <c r="B144" s="48">
        <f>IF(B109=2,B129,0)</f>
        <v>27</v>
      </c>
      <c r="D144" s="52">
        <f>IF(D109=2,B129,0)</f>
        <v>0</v>
      </c>
      <c r="E144" s="48">
        <f>IF(E109=2,E129,0)</f>
        <v>0</v>
      </c>
      <c r="G144" s="52">
        <f>IF(G109=2,E129,0)</f>
        <v>0</v>
      </c>
      <c r="H144" s="48">
        <f>IF(H109=2,H129,0)</f>
        <v>30</v>
      </c>
      <c r="J144" s="52">
        <f>IF(J109=2,H129,0)</f>
        <v>0</v>
      </c>
      <c r="K144" s="48">
        <f>IF(K109=2,K129,0)</f>
        <v>0</v>
      </c>
      <c r="M144" s="52">
        <f>IF(M109=2,K129,0)</f>
        <v>0</v>
      </c>
      <c r="N144" s="48">
        <f>IF(N109=2,N129,0)</f>
        <v>0</v>
      </c>
      <c r="P144" s="52">
        <f>IF(P109=2,N129,0)</f>
        <v>0</v>
      </c>
      <c r="Q144" s="48">
        <f>IF(Q109=2,Q129,0)</f>
        <v>0</v>
      </c>
      <c r="S144" s="52">
        <f>IF(S109=2,Q129,0)</f>
        <v>30</v>
      </c>
      <c r="T144" s="48">
        <f>IF(T109=2,T129,0)</f>
        <v>0</v>
      </c>
      <c r="V144" s="52">
        <f>IF(V109=2,T129,0)</f>
        <v>0</v>
      </c>
      <c r="W144" s="48">
        <f>IF(W109=2,W129,0)</f>
        <v>0</v>
      </c>
      <c r="Y144" s="52">
        <f>IF(Y109=2,W129,0)</f>
        <v>0</v>
      </c>
      <c r="Z144" s="48">
        <f>IF(Z109=2,Z129,0)</f>
        <v>0</v>
      </c>
      <c r="AB144" s="52">
        <f>IF(AB109=2,Z129,0)</f>
        <v>0</v>
      </c>
      <c r="AC144" s="48">
        <f>IF(AC109=2,AC129,0)</f>
        <v>0</v>
      </c>
      <c r="AE144" s="52">
        <f>IF(AE109=2,AC129,0)</f>
        <v>0</v>
      </c>
      <c r="AF144" s="48">
        <f>SUM(B144:AE144)</f>
        <v>87</v>
      </c>
    </row>
    <row r="145" spans="1:33" s="48" customFormat="1" ht="12.75" customHeight="1" x14ac:dyDescent="0.25">
      <c r="A145" s="48" t="s">
        <v>85</v>
      </c>
      <c r="B145" s="48">
        <f>IF(B109=3,B129,0)</f>
        <v>0</v>
      </c>
      <c r="D145" s="52">
        <f>IF(D109=3,B129,0)</f>
        <v>27</v>
      </c>
      <c r="E145" s="48">
        <f>IF(E109=3,E129,0)</f>
        <v>0</v>
      </c>
      <c r="G145" s="52">
        <f>IF(G109=3,E129,0)</f>
        <v>0</v>
      </c>
      <c r="H145" s="48">
        <f>IF(H109=3,H129,0)</f>
        <v>0</v>
      </c>
      <c r="J145" s="52">
        <f>IF(J109=3,H129,0)</f>
        <v>0</v>
      </c>
      <c r="K145" s="48">
        <f>IF(K109=3,K129,0)</f>
        <v>0</v>
      </c>
      <c r="M145" s="52">
        <f>IF(M109=3,K129,0)</f>
        <v>27</v>
      </c>
      <c r="N145" s="48">
        <f>IF(N109=3,N129,0)</f>
        <v>24</v>
      </c>
      <c r="P145" s="52">
        <f>IF(P109=3,N129,0)</f>
        <v>0</v>
      </c>
      <c r="Q145" s="48">
        <f>IF(Q109=3,Q129,0)</f>
        <v>0</v>
      </c>
      <c r="S145" s="52">
        <f>IF(S109=3,Q129,0)</f>
        <v>0</v>
      </c>
      <c r="T145" s="48">
        <f>IF(T109=3,T129,0)</f>
        <v>0</v>
      </c>
      <c r="V145" s="52">
        <f>IF(V109=3,T129,0)</f>
        <v>0</v>
      </c>
      <c r="W145" s="48">
        <f>IF(W109=3,W129,0)</f>
        <v>0</v>
      </c>
      <c r="Y145" s="52">
        <f>IF(Y109=3,W129,0)</f>
        <v>0</v>
      </c>
      <c r="Z145" s="48">
        <f>IF(Z109=3,Z129,0)</f>
        <v>0</v>
      </c>
      <c r="AB145" s="52">
        <f>IF(AB109=3,Z129,0)</f>
        <v>0</v>
      </c>
      <c r="AC145" s="48">
        <f>IF(AC109=3,AC129,0)</f>
        <v>0</v>
      </c>
      <c r="AE145" s="52">
        <f>IF(AE109=3,AC129,0)</f>
        <v>0</v>
      </c>
      <c r="AF145" s="48">
        <f>SUM(B145:AE145)</f>
        <v>78</v>
      </c>
    </row>
    <row r="146" spans="1:33" s="48" customFormat="1" ht="12.75" customHeight="1" x14ac:dyDescent="0.25">
      <c r="A146" s="48" t="s">
        <v>86</v>
      </c>
      <c r="B146" s="48">
        <f>IF(B109=4,B129,0)</f>
        <v>0</v>
      </c>
      <c r="D146" s="52">
        <f>IF(D109=4,B129,0)</f>
        <v>0</v>
      </c>
      <c r="E146" s="48">
        <f>IF(E109=4,E129,0)</f>
        <v>0</v>
      </c>
      <c r="G146" s="52">
        <f>IF(G109=4,E129,0)</f>
        <v>30</v>
      </c>
      <c r="H146" s="48">
        <f>IF(H109=4,H129,0)</f>
        <v>0</v>
      </c>
      <c r="J146" s="52">
        <f>IF(J109=4,H129,0)</f>
        <v>30</v>
      </c>
      <c r="K146" s="48">
        <f>IF(K109=4,K129,0)</f>
        <v>0</v>
      </c>
      <c r="M146" s="52">
        <f>IF(M109=4,K129,0)</f>
        <v>0</v>
      </c>
      <c r="N146" s="48">
        <f>IF(N109=4,N129,0)</f>
        <v>0</v>
      </c>
      <c r="P146" s="52">
        <f>IF(P109=4,N129,0)</f>
        <v>24</v>
      </c>
      <c r="Q146" s="48">
        <f>IF(Q109=4,Q129,0)</f>
        <v>0</v>
      </c>
      <c r="S146" s="52">
        <f>IF(S109=4,Q129,0)</f>
        <v>0</v>
      </c>
      <c r="T146" s="48">
        <f>IF(T109=4,T129,0)</f>
        <v>0</v>
      </c>
      <c r="V146" s="52">
        <f>IF(V109=4,T129,0)</f>
        <v>0</v>
      </c>
      <c r="W146" s="48">
        <f>IF(W109=4,W129,0)</f>
        <v>0</v>
      </c>
      <c r="Y146" s="52">
        <f>IF(Y109=4,W129,0)</f>
        <v>0</v>
      </c>
      <c r="Z146" s="48">
        <f>IF(Z109=4,Z129,0)</f>
        <v>0</v>
      </c>
      <c r="AB146" s="52">
        <f>IF(AB109=4,Z129,0)</f>
        <v>0</v>
      </c>
      <c r="AC146" s="48">
        <f>IF(AC109=4,AC129,0)</f>
        <v>0</v>
      </c>
      <c r="AE146" s="52">
        <f>IF(AE109=4,AC129,0)</f>
        <v>0</v>
      </c>
      <c r="AF146" s="48">
        <f>SUM(B146:AE146)</f>
        <v>84</v>
      </c>
    </row>
    <row r="147" spans="1:33" s="48" customFormat="1" ht="12.75" customHeight="1" x14ac:dyDescent="0.25">
      <c r="A147" s="48" t="s">
        <v>87</v>
      </c>
      <c r="B147" s="48">
        <f>IF(B109=5,B129,0)</f>
        <v>0</v>
      </c>
      <c r="D147" s="52">
        <f>IF(D109=5,B129,0)</f>
        <v>0</v>
      </c>
      <c r="E147" s="48">
        <f>IF(E109=5,E129,0)</f>
        <v>0</v>
      </c>
      <c r="G147" s="52">
        <f>IF(G109=5,E129,0)</f>
        <v>0</v>
      </c>
      <c r="H147" s="48">
        <f>IF(H109=5,H129,0)</f>
        <v>0</v>
      </c>
      <c r="J147" s="52">
        <f>IF(J109=5,H129,0)</f>
        <v>0</v>
      </c>
      <c r="K147" s="48">
        <f>IF(K109=5,K129,0)</f>
        <v>0</v>
      </c>
      <c r="M147" s="52">
        <f>IF(M109=5,K129,0)</f>
        <v>0</v>
      </c>
      <c r="N147" s="48">
        <f>IF(N109=5,N129,0)</f>
        <v>0</v>
      </c>
      <c r="P147" s="52">
        <f>IF(P109=5,N129,0)</f>
        <v>0</v>
      </c>
      <c r="Q147" s="48">
        <f>IF(Q109=5,Q129,0)</f>
        <v>0</v>
      </c>
      <c r="S147" s="52">
        <f>IF(S109=5,Q129,0)</f>
        <v>0</v>
      </c>
      <c r="T147" s="48">
        <f>IF(T109=5,T129,0)</f>
        <v>0</v>
      </c>
      <c r="V147" s="52">
        <f>IF(V109=5,T129,0)</f>
        <v>0</v>
      </c>
      <c r="W147" s="48">
        <f>IF(W109=5,W129,0)</f>
        <v>0</v>
      </c>
      <c r="Y147" s="52">
        <f>IF(Y109=5,W129,0)</f>
        <v>0</v>
      </c>
      <c r="Z147" s="48">
        <f>IF(Z109=5,Z129,0)</f>
        <v>0</v>
      </c>
      <c r="AB147" s="52">
        <f>IF(AB109=5,Z129,0)</f>
        <v>0</v>
      </c>
      <c r="AC147" s="48">
        <f>IF(AC109=5,AC129,0)</f>
        <v>0</v>
      </c>
      <c r="AE147" s="52">
        <f>IF(AE109=5,AC129,0)</f>
        <v>0</v>
      </c>
      <c r="AF147" s="48">
        <f>SUM(B147:AE147)</f>
        <v>0</v>
      </c>
    </row>
    <row r="148" spans="1:33" s="48" customFormat="1" ht="38.25" customHeight="1" x14ac:dyDescent="0.25">
      <c r="A148" s="48" t="s">
        <v>89</v>
      </c>
      <c r="D148" s="52"/>
      <c r="G148" s="52"/>
      <c r="J148" s="52"/>
      <c r="M148" s="52"/>
      <c r="P148" s="52"/>
      <c r="S148" s="52"/>
      <c r="V148" s="52"/>
      <c r="Y148" s="52"/>
      <c r="AB148" s="52"/>
      <c r="AE148" s="52"/>
      <c r="AF148" s="51" t="s">
        <v>90</v>
      </c>
      <c r="AG148" s="48" t="s">
        <v>91</v>
      </c>
    </row>
    <row r="149" spans="1:33" s="48" customFormat="1" ht="12.75" customHeight="1" x14ac:dyDescent="0.25">
      <c r="A149" s="48" t="s">
        <v>77</v>
      </c>
      <c r="B149" s="48">
        <f>IF(B109=1,SUMIF(B116:B120,"&gt;0"),0)</f>
        <v>0</v>
      </c>
      <c r="D149" s="52">
        <f>IF(D109=1,SUMIF(D116:D120,"&gt;0"),0)</f>
        <v>0</v>
      </c>
      <c r="E149" s="48">
        <f>IF(E109=1,SUMIF(E116:E120,"&gt;0"),0)</f>
        <v>1</v>
      </c>
      <c r="G149" s="52">
        <f>IF(G109=1,SUMIF(G116:G120,"&gt;0"),0)</f>
        <v>0</v>
      </c>
      <c r="H149" s="48">
        <f>IF(H109=1,SUMIF(H116:H120,"&gt;0"),0)</f>
        <v>0</v>
      </c>
      <c r="J149" s="52">
        <f>IF(J109=1,SUMIF(J116:J120,"&gt;0"),0)</f>
        <v>0</v>
      </c>
      <c r="K149" s="48">
        <f>IF(K109=1,SUMIF(K116:K120,"&gt;0"),0)</f>
        <v>0</v>
      </c>
      <c r="M149" s="52">
        <f>IF(M109=1,SUMIF(M116:M120,"&gt;0"),0)</f>
        <v>0</v>
      </c>
      <c r="N149" s="48">
        <f>IF(N109=1,SUMIF(N116:N120,"&gt;0"),0)</f>
        <v>0</v>
      </c>
      <c r="P149" s="52">
        <f>IF(P109=1,SUMIF(P116:P120,"&gt;0"),0)</f>
        <v>0</v>
      </c>
      <c r="Q149" s="48">
        <f>IF(Q109=1,SUMIF(Q116:Q120,"&gt;0"),0)</f>
        <v>1</v>
      </c>
      <c r="S149" s="52">
        <f>IF(S109=1,SUMIF(S116:S120,"&gt;0"),0)</f>
        <v>0</v>
      </c>
      <c r="T149" s="48">
        <f>IF(T109=1,SUMIF(T116:T120,"&gt;0"),0)</f>
        <v>0</v>
      </c>
      <c r="V149" s="52">
        <f>IF(V109=1,SUMIF(V116:V120,"&gt;0"),0)</f>
        <v>0</v>
      </c>
      <c r="W149" s="48">
        <f>IF(W109=1,SUMIF(W116:W120,"&gt;0"),0)</f>
        <v>0</v>
      </c>
      <c r="Y149" s="52">
        <f>IF(Y109=1,SUMIF(Y116:Y120,"&gt;0"),0)</f>
        <v>0</v>
      </c>
      <c r="Z149" s="48">
        <f>IF(Z109=1,SUMIF(Z116:Z120,"&gt;0"),0)</f>
        <v>0</v>
      </c>
      <c r="AB149" s="52">
        <f>IF(AB109=1,SUMIF(AB116:AB120,"&gt;0"),0)</f>
        <v>0</v>
      </c>
      <c r="AC149" s="48">
        <f>IF(AC109=1,SUMIF(AC116:AC120,"&gt;0"),0)</f>
        <v>0</v>
      </c>
      <c r="AE149" s="52">
        <f>IF(AE109=1,SUMIF(AE116:AE120,"&gt;0"),0)</f>
        <v>0</v>
      </c>
      <c r="AF149" s="48">
        <f>SUM(B149:AE149)</f>
        <v>2</v>
      </c>
      <c r="AG149" s="48">
        <f>AF157-AF149</f>
        <v>1</v>
      </c>
    </row>
    <row r="150" spans="1:33" s="48" customFormat="1" ht="12.75" customHeight="1" x14ac:dyDescent="0.25">
      <c r="A150" s="48" t="s">
        <v>78</v>
      </c>
      <c r="B150" s="48">
        <f>IF(B109=2,SUMIF(B116:B120,"&gt;0"),0)</f>
        <v>1</v>
      </c>
      <c r="D150" s="52">
        <f>IF(D109=2,SUMIF(D116:D120,"&gt;0"),0)</f>
        <v>0</v>
      </c>
      <c r="E150" s="48">
        <f>IF(E109=2,SUMIF(E116:E120,"&gt;0"),0)</f>
        <v>0</v>
      </c>
      <c r="G150" s="52">
        <f>IF(G109=2,SUMIF(G116:G120,"&gt;0"),0)</f>
        <v>0</v>
      </c>
      <c r="H150" s="48">
        <f>IF(H109=2,SUMIF(H116:H120,"&gt;0"),0)</f>
        <v>1</v>
      </c>
      <c r="J150" s="52">
        <f>IF(J109=2,SUMIF(J116:J120,"&gt;0"),0)</f>
        <v>0</v>
      </c>
      <c r="K150" s="48">
        <f>IF(K109=2,SUMIF(K116:K120,"&gt;0"),0)</f>
        <v>0</v>
      </c>
      <c r="M150" s="52">
        <f>IF(M109=2,SUMIF(M116:M120,"&gt;0"),0)</f>
        <v>0</v>
      </c>
      <c r="N150" s="48">
        <f>IF(N109=2,SUMIF(N116:N120,"&gt;0"),0)</f>
        <v>0</v>
      </c>
      <c r="P150" s="52">
        <f>IF(P109=2,SUMIF(P116:P120,"&gt;0"),0)</f>
        <v>0</v>
      </c>
      <c r="Q150" s="48">
        <f>IF(Q109=2,SUMIF(Q116:Q120,"&gt;0"),0)</f>
        <v>0</v>
      </c>
      <c r="S150" s="52">
        <f>IF(S109=2,SUMIF(S116:S120,"&gt;0"),0)</f>
        <v>0</v>
      </c>
      <c r="T150" s="48">
        <f>IF(T109=2,SUMIF(T116:T120,"&gt;0"),0)</f>
        <v>0</v>
      </c>
      <c r="V150" s="52">
        <f>IF(V109=2,SUMIF(V116:V120,"&gt;0"),0)</f>
        <v>0</v>
      </c>
      <c r="W150" s="48">
        <f>IF(W109=2,SUMIF(W116:W120,"&gt;0"),0)</f>
        <v>0</v>
      </c>
      <c r="Y150" s="52">
        <f>IF(Y109=2,SUMIF(Y116:Y120,"&gt;0"),0)</f>
        <v>0</v>
      </c>
      <c r="Z150" s="48">
        <f>IF(Z109=2,SUMIF(Z116:Z120,"&gt;0"),0)</f>
        <v>0</v>
      </c>
      <c r="AB150" s="52">
        <f>IF(AB109=2,SUMIF(AB116:AB120,"&gt;0"),0)</f>
        <v>0</v>
      </c>
      <c r="AC150" s="48">
        <f>IF(AC109=2,SUMIF(AC116:AC120,"&gt;0"),0)</f>
        <v>0</v>
      </c>
      <c r="AE150" s="52">
        <f>IF(AE109=2,SUMIF(AE116:AE120,"&gt;0"),0)</f>
        <v>0</v>
      </c>
      <c r="AF150" s="48">
        <f>SUM(B150:AE150)</f>
        <v>2</v>
      </c>
      <c r="AG150" s="48">
        <f>AF158-AF150</f>
        <v>1</v>
      </c>
    </row>
    <row r="151" spans="1:33" s="48" customFormat="1" ht="12.75" customHeight="1" x14ac:dyDescent="0.25">
      <c r="A151" s="48" t="s">
        <v>79</v>
      </c>
      <c r="B151" s="48">
        <f>IF(B109=3,SUMIF(B116:B120,"&gt;0"),0)</f>
        <v>0</v>
      </c>
      <c r="D151" s="52">
        <f>IF(D109=3,SUMIF(D116:D120,"&gt;0"),0)</f>
        <v>0</v>
      </c>
      <c r="E151" s="48">
        <f>IF(E109=3,SUMIF(E116:E120,"&gt;0"),0)</f>
        <v>0</v>
      </c>
      <c r="G151" s="52">
        <f>IF(G109=3,SUMIF(G116:G120,"&gt;0"),0)</f>
        <v>0</v>
      </c>
      <c r="H151" s="48">
        <f>IF(H109=3,SUMIF(H116:H120,"&gt;0"),0)</f>
        <v>0</v>
      </c>
      <c r="J151" s="52">
        <f>IF(J109=3,SUMIF(J116:J120,"&gt;0"),0)</f>
        <v>0</v>
      </c>
      <c r="K151" s="48">
        <f>IF(K109=3,SUMIF(K116:K120,"&gt;0"),0)</f>
        <v>0</v>
      </c>
      <c r="M151" s="52">
        <f>IF(M109=3,SUMIF(M116:M120,"&gt;0"),0)</f>
        <v>1</v>
      </c>
      <c r="N151" s="48">
        <f>IF(N109=3,SUMIF(N116:N120,"&gt;0"),0)</f>
        <v>0</v>
      </c>
      <c r="P151" s="52">
        <f>IF(P109=3,SUMIF(P116:P120,"&gt;0"),0)</f>
        <v>0</v>
      </c>
      <c r="Q151" s="48">
        <f>IF(Q109=3,SUMIF(Q116:Q120,"&gt;0"),0)</f>
        <v>0</v>
      </c>
      <c r="S151" s="52">
        <f>IF(S109=3,SUMIF(S116:S120,"&gt;0"),0)</f>
        <v>0</v>
      </c>
      <c r="T151" s="48">
        <f>IF(T109=3,SUMIF(T116:T120,"&gt;0"),0)</f>
        <v>0</v>
      </c>
      <c r="V151" s="52">
        <f>IF(V109=3,SUMIF(V116:V120,"&gt;0"),0)</f>
        <v>0</v>
      </c>
      <c r="W151" s="48">
        <f>IF(W109=3,SUMIF(W116:W120,"&gt;0"),0)</f>
        <v>0</v>
      </c>
      <c r="Y151" s="52">
        <f>IF(Y109=3,SUMIF(Y116:Y120,"&gt;0"),0)</f>
        <v>0</v>
      </c>
      <c r="Z151" s="48">
        <f>IF(Z109=3,SUMIF(Z116:Z120,"&gt;0"),0)</f>
        <v>0</v>
      </c>
      <c r="AB151" s="52">
        <f>IF(AB109=3,SUMIF(AB116:AB120,"&gt;0"),0)</f>
        <v>0</v>
      </c>
      <c r="AC151" s="48">
        <f>IF(AC109=3,SUMIF(AC116:AC120,"&gt;0"),0)</f>
        <v>0</v>
      </c>
      <c r="AE151" s="52">
        <f>IF(AE109=3,SUMIF(AE116:AE120,"&gt;0"),0)</f>
        <v>0</v>
      </c>
      <c r="AF151" s="48">
        <f>SUM(B151:AE151)</f>
        <v>1</v>
      </c>
      <c r="AG151" s="48">
        <f>AF159-AF151</f>
        <v>2</v>
      </c>
    </row>
    <row r="152" spans="1:33" s="48" customFormat="1" ht="12.75" customHeight="1" x14ac:dyDescent="0.25">
      <c r="A152" s="48" t="s">
        <v>80</v>
      </c>
      <c r="B152" s="48">
        <f>IF(B109=4,SUMIF(B116:B120,"&gt;0"),0)</f>
        <v>0</v>
      </c>
      <c r="D152" s="52">
        <f>IF(D109=4,SUMIF(D116:D120,"&gt;0"),0)</f>
        <v>0</v>
      </c>
      <c r="E152" s="48">
        <f>IF(E109=4,SUMIF(E116:E120,"&gt;0"),0)</f>
        <v>0</v>
      </c>
      <c r="G152" s="52">
        <f>IF(G109=4,SUMIF(G116:G120,"&gt;0"),0)</f>
        <v>0</v>
      </c>
      <c r="H152" s="48">
        <f>IF(H109=4,SUMIF(H116:H120,"&gt;0"),0)</f>
        <v>0</v>
      </c>
      <c r="J152" s="52">
        <f>IF(J109=4,SUMIF(J116:J120,"&gt;0"),0)</f>
        <v>0</v>
      </c>
      <c r="K152" s="48">
        <f>IF(K109=4,SUMIF(K116:K120,"&gt;0"),0)</f>
        <v>0</v>
      </c>
      <c r="M152" s="52">
        <f>IF(M109=4,SUMIF(M116:M120,"&gt;0"),0)</f>
        <v>0</v>
      </c>
      <c r="N152" s="48">
        <f>IF(N109=4,SUMIF(N116:N120,"&gt;0"),0)</f>
        <v>0</v>
      </c>
      <c r="P152" s="52">
        <f>IF(P109=4,SUMIF(P116:P120,"&gt;0"),0)</f>
        <v>1</v>
      </c>
      <c r="Q152" s="48">
        <f>IF(Q109=4,SUMIF(Q116:Q120,"&gt;0"),0)</f>
        <v>0</v>
      </c>
      <c r="S152" s="52">
        <f>IF(S109=4,SUMIF(S116:S120,"&gt;0"),0)</f>
        <v>0</v>
      </c>
      <c r="T152" s="48">
        <f>IF(T109=4,SUMIF(T116:T120,"&gt;0"),0)</f>
        <v>0</v>
      </c>
      <c r="V152" s="52">
        <f>IF(V109=4,SUMIF(V116:V120,"&gt;0"),0)</f>
        <v>0</v>
      </c>
      <c r="W152" s="48">
        <f>IF(W109=4,SUMIF(W116:W120,"&gt;0"),0)</f>
        <v>0</v>
      </c>
      <c r="Y152" s="52">
        <f>IF(Y109=4,SUMIF(Y116:Y120,"&gt;0"),0)</f>
        <v>0</v>
      </c>
      <c r="Z152" s="48">
        <f>IF(Z109=4,SUMIF(Z116:Z120,"&gt;0"),0)</f>
        <v>0</v>
      </c>
      <c r="AB152" s="52">
        <f>IF(AB109=4,SUMIF(AB116:AB120,"&gt;0"),0)</f>
        <v>0</v>
      </c>
      <c r="AC152" s="48">
        <f>IF(AC109=4,SUMIF(AC116:AC120,"&gt;0"),0)</f>
        <v>0</v>
      </c>
      <c r="AE152" s="52">
        <f>IF(AE109=4,SUMIF(AE116:AE120,"&gt;0"),0)</f>
        <v>0</v>
      </c>
      <c r="AF152" s="48">
        <f>SUM(B152:AE152)</f>
        <v>1</v>
      </c>
      <c r="AG152" s="48">
        <f>AF160-AF152</f>
        <v>2</v>
      </c>
    </row>
    <row r="153" spans="1:33" s="48" customFormat="1" ht="12.75" customHeight="1" x14ac:dyDescent="0.25">
      <c r="A153" s="48" t="s">
        <v>81</v>
      </c>
      <c r="B153" s="48">
        <f>IF(B109=5,SUMIF(B116:B120,"&gt;0"),0)</f>
        <v>0</v>
      </c>
      <c r="D153" s="52">
        <f>IF(D109=5,SUMIF(D116:D120,"&gt;0"),0)</f>
        <v>0</v>
      </c>
      <c r="E153" s="48">
        <f>IF(E109=5,SUMIF(E116:E120,"&gt;0"),0)</f>
        <v>0</v>
      </c>
      <c r="G153" s="52">
        <f>IF(G109=5,SUMIF(G116:G120,"&gt;0"),0)</f>
        <v>0</v>
      </c>
      <c r="H153" s="48">
        <f>IF(H109=5,SUMIF(H116:H120,"&gt;0"),0)</f>
        <v>0</v>
      </c>
      <c r="J153" s="52">
        <f>IF(J109=5,SUMIF(J116:J120,"&gt;0"),0)</f>
        <v>0</v>
      </c>
      <c r="K153" s="48">
        <f>IF(K109=5,SUMIF(K116:K120,"&gt;0"),0)</f>
        <v>0</v>
      </c>
      <c r="M153" s="52">
        <f>IF(M109=5,SUMIF(M116:M120,"&gt;0"),0)</f>
        <v>0</v>
      </c>
      <c r="N153" s="48">
        <f>IF(N109=5,SUMIF(N116:N120,"&gt;0"),0)</f>
        <v>0</v>
      </c>
      <c r="P153" s="52">
        <f>IF(P109=5,SUMIF(P116:P120,"&gt;0"),0)</f>
        <v>0</v>
      </c>
      <c r="Q153" s="48">
        <f>IF(Q109=5,SUMIF(Q116:Q120,"&gt;0"),0)</f>
        <v>0</v>
      </c>
      <c r="S153" s="52">
        <f>IF(S109=5,SUMIF(S116:S120,"&gt;0"),0)</f>
        <v>0</v>
      </c>
      <c r="T153" s="48">
        <f>IF(T109=5,SUMIF(T116:T120,"&gt;0"),0)</f>
        <v>0</v>
      </c>
      <c r="V153" s="52">
        <f>IF(V109=5,SUMIF(V116:V120,"&gt;0"),0)</f>
        <v>0</v>
      </c>
      <c r="W153" s="48">
        <f>IF(W109=5,SUMIF(W116:W120,"&gt;0"),0)</f>
        <v>0</v>
      </c>
      <c r="Y153" s="52">
        <f>IF(Y109=5,SUMIF(Y116:Y120,"&gt;0"),0)</f>
        <v>0</v>
      </c>
      <c r="Z153" s="48">
        <f>IF(Z109=5,SUMIF(Z116:Z120,"&gt;0"),0)</f>
        <v>0</v>
      </c>
      <c r="AB153" s="52">
        <f>IF(AB109=5,SUMIF(AB116:AB120,"&gt;0"),0)</f>
        <v>0</v>
      </c>
      <c r="AC153" s="48">
        <f>IF(AC109=5,SUMIF(AC116:AC120,"&gt;0"),0)</f>
        <v>0</v>
      </c>
      <c r="AE153" s="52">
        <f>IF(AE109=5,SUMIF(AE116:AE120,"&gt;0"),0)</f>
        <v>0</v>
      </c>
      <c r="AF153" s="48">
        <f>SUM(B153:AE153)</f>
        <v>0</v>
      </c>
      <c r="AG153" s="48">
        <f>AF161-AF153</f>
        <v>0</v>
      </c>
    </row>
    <row r="154" spans="1:33" s="48" customFormat="1" ht="12.75" customHeight="1" x14ac:dyDescent="0.25">
      <c r="D154" s="52"/>
      <c r="G154" s="52"/>
      <c r="J154" s="52"/>
      <c r="M154" s="52"/>
      <c r="P154" s="52"/>
      <c r="S154" s="52"/>
      <c r="V154" s="52"/>
      <c r="Y154" s="52"/>
      <c r="AB154" s="52"/>
      <c r="AE154" s="52"/>
    </row>
    <row r="155" spans="1:33" s="48" customFormat="1" ht="12.75" customHeight="1" x14ac:dyDescent="0.25">
      <c r="D155" s="52"/>
      <c r="G155" s="52"/>
      <c r="J155" s="52"/>
      <c r="M155" s="52"/>
      <c r="P155" s="52"/>
      <c r="S155" s="52"/>
      <c r="V155" s="52"/>
      <c r="Y155" s="52"/>
      <c r="AB155" s="52"/>
      <c r="AE155" s="52"/>
    </row>
    <row r="156" spans="1:33" s="48" customFormat="1" ht="51" customHeight="1" x14ac:dyDescent="0.25">
      <c r="A156" s="51" t="s">
        <v>92</v>
      </c>
      <c r="C156" s="48">
        <f>SUMIF(B149:D153,"&gt;0")</f>
        <v>1</v>
      </c>
      <c r="D156" s="52"/>
      <c r="F156" s="48">
        <f>SUMIF(E149:G153,"&gt;0")</f>
        <v>1</v>
      </c>
      <c r="G156" s="52"/>
      <c r="I156" s="48">
        <f>SUMIF(H149:J153,"&gt;0")</f>
        <v>1</v>
      </c>
      <c r="J156" s="52"/>
      <c r="L156" s="48">
        <f>SUMIF(K149:M153,"&gt;0")</f>
        <v>1</v>
      </c>
      <c r="M156" s="52"/>
      <c r="O156" s="48">
        <f>SUMIF(N149:P153,"&gt;0")</f>
        <v>1</v>
      </c>
      <c r="P156" s="52"/>
      <c r="R156" s="48">
        <f>SUMIF(Q149:S153,"&gt;0")</f>
        <v>1</v>
      </c>
      <c r="S156" s="52"/>
      <c r="U156" s="48">
        <f>SUMIF(T149:V153,"&gt;0")</f>
        <v>0</v>
      </c>
      <c r="V156" s="52"/>
      <c r="X156" s="48">
        <f>SUMIF(W149:Y153,"&gt;0")</f>
        <v>0</v>
      </c>
      <c r="Y156" s="52"/>
      <c r="AA156" s="48">
        <f>SUMIF(Z149:AB153,"&gt;0")</f>
        <v>0</v>
      </c>
      <c r="AB156" s="52"/>
      <c r="AD156" s="48">
        <f>SUMIF(AC149:AE153,"&gt;0")</f>
        <v>0</v>
      </c>
      <c r="AE156" s="52"/>
      <c r="AF156" s="51" t="s">
        <v>93</v>
      </c>
    </row>
    <row r="157" spans="1:33" s="48" customFormat="1" ht="12.75" customHeight="1" x14ac:dyDescent="0.25">
      <c r="A157" s="48" t="s">
        <v>83</v>
      </c>
      <c r="B157" s="48">
        <f>IF(B109=1,C156,0)</f>
        <v>0</v>
      </c>
      <c r="D157" s="52">
        <f>IF(D109=1,C156,0)</f>
        <v>0</v>
      </c>
      <c r="E157" s="48">
        <f>IF(E109=1,F156,0)</f>
        <v>1</v>
      </c>
      <c r="G157" s="52">
        <f>IF(G109=1,F156,0)</f>
        <v>0</v>
      </c>
      <c r="H157" s="48">
        <f>IF(H109=1,I156,0)</f>
        <v>0</v>
      </c>
      <c r="J157" s="52">
        <f>IF(J109=1,I156,0)</f>
        <v>0</v>
      </c>
      <c r="K157" s="48">
        <f>IF(K109=1,L156,0)</f>
        <v>1</v>
      </c>
      <c r="M157" s="52">
        <f>IF(M109=1,L156,0)</f>
        <v>0</v>
      </c>
      <c r="N157" s="48">
        <f>IF(N109=1,O156,0)</f>
        <v>0</v>
      </c>
      <c r="P157" s="52">
        <f>IF(P109=1,O156,0)</f>
        <v>0</v>
      </c>
      <c r="Q157" s="48">
        <f>IF(Q109=1,R156,0)</f>
        <v>1</v>
      </c>
      <c r="S157" s="52">
        <f>IF(S109=1,R156,0)</f>
        <v>0</v>
      </c>
      <c r="T157" s="48">
        <f>IF(T109=1,U156,0)</f>
        <v>0</v>
      </c>
      <c r="V157" s="52">
        <f>IF(V109=1,U156,0)</f>
        <v>0</v>
      </c>
      <c r="W157" s="48">
        <f>IF(W109=1,X156,0)</f>
        <v>0</v>
      </c>
      <c r="Y157" s="52">
        <f>IF(Y109=1,X156,0)</f>
        <v>0</v>
      </c>
      <c r="Z157" s="48">
        <f>IF(Z109=1,AA156,0)</f>
        <v>0</v>
      </c>
      <c r="AB157" s="52">
        <f>IF(AB109=1,AA156,0)</f>
        <v>0</v>
      </c>
      <c r="AC157" s="48">
        <f>IF(AC109=1,AD156,0)</f>
        <v>0</v>
      </c>
      <c r="AE157" s="52">
        <f>IF(AE109=1,AD156,0)</f>
        <v>0</v>
      </c>
      <c r="AF157" s="48">
        <f>SUM(B157:AE157)</f>
        <v>3</v>
      </c>
    </row>
    <row r="158" spans="1:33" s="48" customFormat="1" ht="12.75" customHeight="1" x14ac:dyDescent="0.25">
      <c r="A158" s="48" t="s">
        <v>84</v>
      </c>
      <c r="B158" s="48">
        <f>IF(B109=2,C156,0)</f>
        <v>1</v>
      </c>
      <c r="D158" s="52">
        <f>IF(D109=2,C156,0)</f>
        <v>0</v>
      </c>
      <c r="E158" s="48">
        <f>IF(E109=2,F156,0)</f>
        <v>0</v>
      </c>
      <c r="G158" s="52">
        <f>IF(G109=2,F156,0)</f>
        <v>0</v>
      </c>
      <c r="H158" s="48">
        <f>IF(H109=2,I156,0)</f>
        <v>1</v>
      </c>
      <c r="J158" s="52">
        <f>IF(J109=2,I156,0)</f>
        <v>0</v>
      </c>
      <c r="K158" s="48">
        <f>IF(K109=2,L156,0)</f>
        <v>0</v>
      </c>
      <c r="M158" s="52">
        <f>IF(M109=2,L156,0)</f>
        <v>0</v>
      </c>
      <c r="N158" s="48">
        <f>IF(N109=2,O156,0)</f>
        <v>0</v>
      </c>
      <c r="P158" s="52">
        <f>IF(P109=2,O156,0)</f>
        <v>0</v>
      </c>
      <c r="Q158" s="48">
        <f>IF(Q109=2,R156,0)</f>
        <v>0</v>
      </c>
      <c r="S158" s="52">
        <f>IF(S109=2,R156,0)</f>
        <v>1</v>
      </c>
      <c r="T158" s="48">
        <f>IF(T109=2,U156,0)</f>
        <v>0</v>
      </c>
      <c r="V158" s="52">
        <f>IF(V109=2,U156,0)</f>
        <v>0</v>
      </c>
      <c r="W158" s="48">
        <f>IF(W109=2,X156,0)</f>
        <v>0</v>
      </c>
      <c r="Y158" s="52">
        <f>IF(Y109=2,X156,0)</f>
        <v>0</v>
      </c>
      <c r="Z158" s="48">
        <f>IF(Z109=2,AA156,0)</f>
        <v>0</v>
      </c>
      <c r="AB158" s="52">
        <f>IF(AB109=2,AA156,0)</f>
        <v>0</v>
      </c>
      <c r="AC158" s="48">
        <f>IF(AC109=2,AD156,0)</f>
        <v>0</v>
      </c>
      <c r="AE158" s="52">
        <f>IF(AE109=2,AD156,0)</f>
        <v>0</v>
      </c>
      <c r="AF158" s="48">
        <f>SUM(B158:AE158)</f>
        <v>3</v>
      </c>
    </row>
    <row r="159" spans="1:33" s="48" customFormat="1" ht="12.75" customHeight="1" x14ac:dyDescent="0.25">
      <c r="A159" s="48" t="s">
        <v>85</v>
      </c>
      <c r="B159" s="48">
        <f>IF(B109=3,C156,0)</f>
        <v>0</v>
      </c>
      <c r="D159" s="52">
        <f>IF(D109=3,C156,0)</f>
        <v>1</v>
      </c>
      <c r="E159" s="48">
        <f>IF(E109=3,F156,0)</f>
        <v>0</v>
      </c>
      <c r="G159" s="52">
        <f>IF(G109=3,F156,0)</f>
        <v>0</v>
      </c>
      <c r="H159" s="48">
        <f>IF(H109=3,I156,0)</f>
        <v>0</v>
      </c>
      <c r="J159" s="52">
        <f>IF(J109=3,I156,0)</f>
        <v>0</v>
      </c>
      <c r="K159" s="48">
        <f>IF(K109=3,L156,0)</f>
        <v>0</v>
      </c>
      <c r="M159" s="52">
        <f>IF(M109=3,L156,0)</f>
        <v>1</v>
      </c>
      <c r="N159" s="48">
        <f>IF(N109=3,O156,0)</f>
        <v>1</v>
      </c>
      <c r="P159" s="52">
        <f>IF(P109=3,O156,0)</f>
        <v>0</v>
      </c>
      <c r="Q159" s="48">
        <f>IF(Q109=3,R156,0)</f>
        <v>0</v>
      </c>
      <c r="S159" s="52">
        <f>IF(S109=3,R156,0)</f>
        <v>0</v>
      </c>
      <c r="T159" s="48">
        <f>IF(T109=3,U156,0)</f>
        <v>0</v>
      </c>
      <c r="V159" s="52">
        <f>IF(V109=3,U156,0)</f>
        <v>0</v>
      </c>
      <c r="W159" s="48">
        <f>IF(W109=3,X156,0)</f>
        <v>0</v>
      </c>
      <c r="Y159" s="52">
        <f>IF(Y109=3,X156,0)</f>
        <v>0</v>
      </c>
      <c r="Z159" s="48">
        <f>IF(Z109=3,AA156,0)</f>
        <v>0</v>
      </c>
      <c r="AB159" s="52">
        <f>IF(AB109=3,AA156,0)</f>
        <v>0</v>
      </c>
      <c r="AC159" s="48">
        <f>IF(AC109=3,AD156,0)</f>
        <v>0</v>
      </c>
      <c r="AE159" s="52">
        <f>IF(AE109=3,AD156,0)</f>
        <v>0</v>
      </c>
      <c r="AF159" s="48">
        <f>SUM(B159:AE159)</f>
        <v>3</v>
      </c>
    </row>
    <row r="160" spans="1:33" s="48" customFormat="1" ht="12.75" customHeight="1" x14ac:dyDescent="0.25">
      <c r="A160" s="48" t="s">
        <v>86</v>
      </c>
      <c r="B160" s="48">
        <f>IF(B109=4,C156,0)</f>
        <v>0</v>
      </c>
      <c r="D160" s="52">
        <f>IF(D109=4,C156,0)</f>
        <v>0</v>
      </c>
      <c r="E160" s="48">
        <f>IF(E109=4,F156,0)</f>
        <v>0</v>
      </c>
      <c r="G160" s="52">
        <f>IF(G109=4,F156,0)</f>
        <v>1</v>
      </c>
      <c r="H160" s="48">
        <f>IF(H109=4,I156,0)</f>
        <v>0</v>
      </c>
      <c r="J160" s="52">
        <f>IF(J109=4,I156,0)</f>
        <v>1</v>
      </c>
      <c r="K160" s="48">
        <f>IF(K109=4,L156,0)</f>
        <v>0</v>
      </c>
      <c r="M160" s="52">
        <f>IF(M109=4,L156,0)</f>
        <v>0</v>
      </c>
      <c r="N160" s="48">
        <f>IF(N109=4,O156,0)</f>
        <v>0</v>
      </c>
      <c r="P160" s="52">
        <f>IF(P109=4,O156,0)</f>
        <v>1</v>
      </c>
      <c r="Q160" s="48">
        <f>IF(Q109=4,R156,0)</f>
        <v>0</v>
      </c>
      <c r="S160" s="52">
        <f>IF(S109=4,R156,0)</f>
        <v>0</v>
      </c>
      <c r="T160" s="48">
        <f>IF(T109=4,U156,0)</f>
        <v>0</v>
      </c>
      <c r="V160" s="52">
        <f>IF(V109=4,U156,0)</f>
        <v>0</v>
      </c>
      <c r="W160" s="48">
        <f>IF(W109=4,X156,0)</f>
        <v>0</v>
      </c>
      <c r="Y160" s="52">
        <f>IF(Y109=4,X156,0)</f>
        <v>0</v>
      </c>
      <c r="Z160" s="48">
        <f>IF(Z109=4,AA156,0)</f>
        <v>0</v>
      </c>
      <c r="AB160" s="52">
        <f>IF(AB109=4,AA156,0)</f>
        <v>0</v>
      </c>
      <c r="AC160" s="48">
        <f>IF(AC109=4,AD156,0)</f>
        <v>0</v>
      </c>
      <c r="AE160" s="52">
        <f>IF(AE109=4,AD156,0)</f>
        <v>0</v>
      </c>
      <c r="AF160" s="48">
        <f>SUM(B160:AE160)</f>
        <v>3</v>
      </c>
    </row>
    <row r="161" spans="1:49" s="48" customFormat="1" ht="12.75" customHeight="1" x14ac:dyDescent="0.25">
      <c r="A161" s="48" t="s">
        <v>87</v>
      </c>
      <c r="B161" s="48">
        <f>IF(B109=5,C156,0)</f>
        <v>0</v>
      </c>
      <c r="D161" s="52">
        <f>IF(D109=5,C156,0)</f>
        <v>0</v>
      </c>
      <c r="E161" s="48">
        <f>IF(E109=5,F156,0)</f>
        <v>0</v>
      </c>
      <c r="G161" s="52">
        <f>IF(G109=5,F156,0)</f>
        <v>0</v>
      </c>
      <c r="H161" s="48">
        <f>IF(H109=5,I156,0)</f>
        <v>0</v>
      </c>
      <c r="J161" s="52">
        <f>IF(J109=5,I156,0)</f>
        <v>0</v>
      </c>
      <c r="K161" s="48">
        <f>IF(K109=5,L156,0)</f>
        <v>0</v>
      </c>
      <c r="M161" s="52">
        <f>IF(M109=5,L156,0)</f>
        <v>0</v>
      </c>
      <c r="N161" s="48">
        <f>IF(N109=5,O156,0)</f>
        <v>0</v>
      </c>
      <c r="P161" s="52">
        <f>IF(P109=5,O156,0)</f>
        <v>0</v>
      </c>
      <c r="Q161" s="48">
        <f>IF(Q109=5,R156,0)</f>
        <v>0</v>
      </c>
      <c r="S161" s="52">
        <f>IF(S109=5,R156,0)</f>
        <v>0</v>
      </c>
      <c r="T161" s="48">
        <f>IF(T109=5,U156,0)</f>
        <v>0</v>
      </c>
      <c r="V161" s="52">
        <f>IF(V109=5,U156,0)</f>
        <v>0</v>
      </c>
      <c r="W161" s="48">
        <f>IF(W109=5,X156,0)</f>
        <v>0</v>
      </c>
      <c r="Y161" s="52">
        <f>IF(Y109=5,X156,0)</f>
        <v>0</v>
      </c>
      <c r="Z161" s="48">
        <f>IF(Z109=5,AA156,0)</f>
        <v>0</v>
      </c>
      <c r="AB161" s="52">
        <f>IF(AB109=5,AA156,0)</f>
        <v>0</v>
      </c>
      <c r="AC161" s="48">
        <f>IF(AC109=5,AD156,0)</f>
        <v>0</v>
      </c>
      <c r="AE161" s="52">
        <f>IF(AE109=5,AD156,0)</f>
        <v>0</v>
      </c>
      <c r="AF161" s="48">
        <f>SUM(B161:AE161)</f>
        <v>0</v>
      </c>
    </row>
    <row r="162" spans="1:49" x14ac:dyDescent="0.25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4"/>
      <c r="AO162" s="74"/>
      <c r="AP162" s="74"/>
      <c r="AQ162" s="74"/>
      <c r="AR162" s="55"/>
      <c r="AS162" s="55"/>
      <c r="AT162" s="56"/>
    </row>
    <row r="163" spans="1:49" s="55" customFormat="1" x14ac:dyDescent="0.25">
      <c r="A163" s="57"/>
      <c r="B163" s="57"/>
      <c r="C163" s="57" t="s">
        <v>94</v>
      </c>
      <c r="D163" s="57">
        <v>1</v>
      </c>
      <c r="E163" s="57"/>
      <c r="F163" s="57"/>
      <c r="G163" s="57">
        <v>2</v>
      </c>
      <c r="H163" s="57"/>
      <c r="I163" s="57"/>
      <c r="J163" s="57">
        <v>3</v>
      </c>
      <c r="K163" s="57"/>
      <c r="L163" s="57"/>
      <c r="M163" s="57">
        <v>4</v>
      </c>
      <c r="N163" s="57"/>
      <c r="O163" s="57"/>
      <c r="P163" s="57">
        <v>5</v>
      </c>
      <c r="Q163" s="57"/>
      <c r="R163" s="57"/>
      <c r="S163" s="57">
        <v>6</v>
      </c>
      <c r="T163" s="57"/>
      <c r="U163" s="57"/>
      <c r="V163" s="57">
        <v>7</v>
      </c>
      <c r="W163" s="57"/>
      <c r="X163" s="57"/>
      <c r="Y163" s="57">
        <v>8</v>
      </c>
      <c r="Z163" s="57"/>
      <c r="AA163" s="57"/>
      <c r="AB163" s="57">
        <v>9</v>
      </c>
      <c r="AC163" s="57"/>
      <c r="AD163" s="57"/>
      <c r="AE163" s="57">
        <v>10</v>
      </c>
      <c r="AF163" s="4"/>
      <c r="AG163" s="57"/>
      <c r="AI163" s="58"/>
      <c r="AJ163" s="4"/>
      <c r="AK163" s="4"/>
      <c r="AL163" s="4"/>
      <c r="AM163" s="4"/>
      <c r="AN163" s="4"/>
      <c r="AO163" s="4"/>
      <c r="AT163" s="58" t="s">
        <v>95</v>
      </c>
      <c r="AW163" s="59"/>
    </row>
    <row r="164" spans="1:49" s="55" customFormat="1" x14ac:dyDescent="0.25">
      <c r="A164" s="60">
        <v>1</v>
      </c>
      <c r="B164" s="60" t="str">
        <f>E93</f>
        <v>Kershaw Dev 12 Blue</v>
      </c>
      <c r="C164" s="60">
        <f>VLOOKUP(B164,AU$3:AW$33,3,FALSE)</f>
        <v>1182.2992844711323</v>
      </c>
      <c r="D164" s="60">
        <f>IF(B157,B172,IF(D157,D172,C164))</f>
        <v>1182.2992844711323</v>
      </c>
      <c r="E164" s="60"/>
      <c r="F164" s="60"/>
      <c r="G164" s="60">
        <f>IF(E157,E172,IF(G157,G172,D164))</f>
        <v>1189.1954036169518</v>
      </c>
      <c r="H164" s="60"/>
      <c r="I164" s="60"/>
      <c r="J164" s="60">
        <f>IF(H157,H172,IF(J157,J172,G164))</f>
        <v>1189.1954036169518</v>
      </c>
      <c r="K164" s="60"/>
      <c r="L164" s="60"/>
      <c r="M164" s="60">
        <f>IF(K157,K172,IF(M157,M172,J164))</f>
        <v>1182.2726225916063</v>
      </c>
      <c r="N164" s="60"/>
      <c r="O164" s="60"/>
      <c r="P164" s="60">
        <f>IF(N157,N172,IF(P157,P172,M164))</f>
        <v>1182.2726225916063</v>
      </c>
      <c r="Q164" s="60"/>
      <c r="R164" s="60"/>
      <c r="S164" s="60">
        <f>IF(Q157,Q172,IF(S157,S172,P164))</f>
        <v>1191.5286506498262</v>
      </c>
      <c r="T164" s="60"/>
      <c r="U164" s="60"/>
      <c r="V164" s="60">
        <f>IF(T157,T172,IF(V157,V172,S164))</f>
        <v>1191.5286506498262</v>
      </c>
      <c r="W164" s="60"/>
      <c r="X164" s="60"/>
      <c r="Y164" s="60">
        <f>IF(W157,W172,IF(Y157,Y172,V164))</f>
        <v>1191.5286506498262</v>
      </c>
      <c r="Z164" s="60"/>
      <c r="AA164" s="60"/>
      <c r="AB164" s="60">
        <f>IF(Z157,Z172,IF(AB157,AB172,Y164))</f>
        <v>1191.5286506498262</v>
      </c>
      <c r="AC164" s="60"/>
      <c r="AD164" s="60"/>
      <c r="AE164" s="60">
        <f>IF(AC157,AC172,IF(AE157,AE172,AB164))</f>
        <v>1191.5286506498262</v>
      </c>
      <c r="AF164" s="4"/>
      <c r="AG164" s="4"/>
      <c r="AJ164" s="4"/>
      <c r="AK164" s="4"/>
      <c r="AL164" s="4"/>
      <c r="AM164" s="4"/>
      <c r="AN164" s="4"/>
      <c r="AO164" s="4"/>
      <c r="AT164" s="55" t="str">
        <f>B164</f>
        <v>Kershaw Dev 12 Blue</v>
      </c>
      <c r="AU164" s="55">
        <f>AE164</f>
        <v>1191.5286506498262</v>
      </c>
      <c r="AW164" s="59"/>
    </row>
    <row r="165" spans="1:49" s="55" customFormat="1" x14ac:dyDescent="0.25">
      <c r="A165" s="60">
        <v>2</v>
      </c>
      <c r="B165" s="60" t="str">
        <f>E95</f>
        <v>BVA 11</v>
      </c>
      <c r="C165" s="60">
        <f>VLOOKUP(B165,AU$3:AW$33,3,FALSE)</f>
        <v>1223.1136240322348</v>
      </c>
      <c r="D165" s="60">
        <f>IF(B158,B172,IF(D158,D172,C165))</f>
        <v>1231.611455008413</v>
      </c>
      <c r="E165" s="60"/>
      <c r="F165" s="60"/>
      <c r="G165" s="60">
        <f>IF(E158,E172,IF(G158,G172,D165))</f>
        <v>1231.611455008413</v>
      </c>
      <c r="H165" s="60"/>
      <c r="I165" s="60"/>
      <c r="J165" s="60">
        <f>IF(H158,H172,IF(J158,J172,G165))</f>
        <v>1237.2761856713082</v>
      </c>
      <c r="K165" s="60"/>
      <c r="L165" s="60"/>
      <c r="M165" s="60">
        <f>IF(K158,K172,IF(M158,M172,J165))</f>
        <v>1237.2761856713082</v>
      </c>
      <c r="N165" s="60"/>
      <c r="O165" s="60"/>
      <c r="P165" s="60">
        <f>IF(N158,N172,IF(P158,P172,M165))</f>
        <v>1237.2761856713082</v>
      </c>
      <c r="Q165" s="60"/>
      <c r="R165" s="60"/>
      <c r="S165" s="60">
        <f>IF(Q158,Q172,IF(S158,S172,P165))</f>
        <v>1228.0201576130883</v>
      </c>
      <c r="T165" s="60"/>
      <c r="U165" s="60"/>
      <c r="V165" s="60">
        <f>IF(T158,T172,IF(V158,V172,S165))</f>
        <v>1228.0201576130883</v>
      </c>
      <c r="W165" s="60"/>
      <c r="X165" s="60"/>
      <c r="Y165" s="60">
        <f>IF(W158,W172,IF(Y158,Y172,V165))</f>
        <v>1228.0201576130883</v>
      </c>
      <c r="Z165" s="60"/>
      <c r="AA165" s="60"/>
      <c r="AB165" s="60">
        <f>IF(Z158,Z172,IF(AB158,AB172,Y165))</f>
        <v>1228.0201576130883</v>
      </c>
      <c r="AC165" s="60"/>
      <c r="AD165" s="60"/>
      <c r="AE165" s="60">
        <f>IF(AC158,AC172,IF(AE158,AE172,AB165))</f>
        <v>1228.0201576130883</v>
      </c>
      <c r="AF165" s="4"/>
      <c r="AG165" s="4"/>
      <c r="AJ165" s="4"/>
      <c r="AL165" s="4"/>
      <c r="AM165" s="4"/>
      <c r="AN165" s="4"/>
      <c r="AO165" s="4"/>
      <c r="AT165" s="55" t="str">
        <f>B165</f>
        <v>BVA 11</v>
      </c>
      <c r="AU165" s="55">
        <f>AE165</f>
        <v>1228.0201576130883</v>
      </c>
      <c r="AW165" s="59"/>
    </row>
    <row r="166" spans="1:49" s="55" customFormat="1" x14ac:dyDescent="0.25">
      <c r="A166" s="60">
        <v>3</v>
      </c>
      <c r="B166" s="60" t="str">
        <f>E97</f>
        <v>USA 12's Purple Carey</v>
      </c>
      <c r="C166" s="60">
        <f>VLOOKUP(B166,AU$3:AW$33,3,FALSE)</f>
        <v>1244.7621216501866</v>
      </c>
      <c r="D166" s="60">
        <f>IF(B159,B172,IF(D159,D172,C166))</f>
        <v>1236.2642906740084</v>
      </c>
      <c r="E166" s="60"/>
      <c r="F166" s="60"/>
      <c r="G166" s="60">
        <f>IF(E159,E172,IF(G159,G172,D166))</f>
        <v>1236.2642906740084</v>
      </c>
      <c r="H166" s="60"/>
      <c r="I166" s="60"/>
      <c r="J166" s="60">
        <f>IF(H159,H172,IF(J159,J172,G166))</f>
        <v>1236.2642906740084</v>
      </c>
      <c r="K166" s="60"/>
      <c r="L166" s="60"/>
      <c r="M166" s="60">
        <f>IF(K159,K172,IF(M159,M172,J166))</f>
        <v>1243.187071699354</v>
      </c>
      <c r="N166" s="60"/>
      <c r="O166" s="60"/>
      <c r="P166" s="60">
        <f>IF(N159,N172,IF(P159,P172,M166))</f>
        <v>1232.4941294996088</v>
      </c>
      <c r="Q166" s="60"/>
      <c r="R166" s="60"/>
      <c r="S166" s="60">
        <f>IF(Q159,Q172,IF(S159,S172,P166))</f>
        <v>1232.4941294996088</v>
      </c>
      <c r="T166" s="60"/>
      <c r="U166" s="60"/>
      <c r="V166" s="60">
        <f>IF(T159,T172,IF(V159,V172,S166))</f>
        <v>1232.4941294996088</v>
      </c>
      <c r="W166" s="60"/>
      <c r="X166" s="60"/>
      <c r="Y166" s="60">
        <f>IF(W159,W172,IF(Y159,Y172,V166))</f>
        <v>1232.4941294996088</v>
      </c>
      <c r="Z166" s="60"/>
      <c r="AA166" s="60"/>
      <c r="AB166" s="60">
        <f>IF(Z159,Z172,IF(AB159,AB172,Y166))</f>
        <v>1232.4941294996088</v>
      </c>
      <c r="AC166" s="60"/>
      <c r="AD166" s="60"/>
      <c r="AE166" s="60">
        <f>IF(AC159,AC172,IF(AE159,AE172,AB166))</f>
        <v>1232.4941294996088</v>
      </c>
      <c r="AF166" s="4"/>
      <c r="AG166" s="4"/>
      <c r="AJ166" s="4"/>
      <c r="AL166" s="4"/>
      <c r="AM166" s="4"/>
      <c r="AN166" s="4"/>
      <c r="AO166" s="4"/>
      <c r="AT166" s="55" t="str">
        <f>B166</f>
        <v>USA 12's Purple Carey</v>
      </c>
      <c r="AU166" s="55">
        <f>AE166</f>
        <v>1232.4941294996088</v>
      </c>
      <c r="AW166" s="59"/>
    </row>
    <row r="167" spans="1:49" s="55" customFormat="1" x14ac:dyDescent="0.25">
      <c r="A167" s="60">
        <v>4</v>
      </c>
      <c r="B167" s="60" t="str">
        <f>E99</f>
        <v>Kershaw Dev 12 White</v>
      </c>
      <c r="C167" s="60">
        <f>VLOOKUP(B167,AU$3:AW$33,3,FALSE)</f>
        <v>1134.0505608585845</v>
      </c>
      <c r="D167" s="60">
        <f>IF(B160,B172,IF(D160,D172,C167))</f>
        <v>1134.0505608585845</v>
      </c>
      <c r="E167" s="60"/>
      <c r="F167" s="60"/>
      <c r="G167" s="60">
        <f>IF(E160,E172,IF(G160,G172,D167))</f>
        <v>1127.154441712765</v>
      </c>
      <c r="H167" s="60"/>
      <c r="I167" s="60"/>
      <c r="J167" s="60">
        <f>IF(H160,H172,IF(J160,J172,G167))</f>
        <v>1121.4897110498698</v>
      </c>
      <c r="K167" s="60"/>
      <c r="L167" s="60"/>
      <c r="M167" s="60">
        <f>IF(K160,K172,IF(M160,M172,J167))</f>
        <v>1121.4897110498698</v>
      </c>
      <c r="N167" s="60"/>
      <c r="O167" s="60"/>
      <c r="P167" s="60">
        <f>IF(N160,N172,IF(P160,P172,M167))</f>
        <v>1132.182653249615</v>
      </c>
      <c r="Q167" s="60"/>
      <c r="R167" s="60"/>
      <c r="S167" s="60">
        <f>IF(Q160,Q172,IF(S160,S172,P167))</f>
        <v>1132.182653249615</v>
      </c>
      <c r="T167" s="60"/>
      <c r="U167" s="60"/>
      <c r="V167" s="60">
        <f>IF(T160,T172,IF(V160,V172,S167))</f>
        <v>1132.182653249615</v>
      </c>
      <c r="W167" s="60"/>
      <c r="X167" s="60"/>
      <c r="Y167" s="60">
        <f>IF(W160,W172,IF(Y160,Y172,V167))</f>
        <v>1132.182653249615</v>
      </c>
      <c r="Z167" s="60"/>
      <c r="AA167" s="60"/>
      <c r="AB167" s="60">
        <f>IF(Z160,Z172,IF(AB160,AB172,Y167))</f>
        <v>1132.182653249615</v>
      </c>
      <c r="AC167" s="60"/>
      <c r="AD167" s="60"/>
      <c r="AE167" s="60">
        <f>IF(AC160,AC172,IF(AE160,AE172,AB167))</f>
        <v>1132.182653249615</v>
      </c>
      <c r="AF167" s="4"/>
      <c r="AG167" s="4"/>
      <c r="AJ167" s="4"/>
      <c r="AL167" s="4"/>
      <c r="AM167" s="4"/>
      <c r="AN167" s="4"/>
      <c r="AO167" s="4"/>
      <c r="AT167" s="55" t="str">
        <f>B167</f>
        <v>Kershaw Dev 12 White</v>
      </c>
      <c r="AU167" s="55">
        <f>AE167</f>
        <v>1132.182653249615</v>
      </c>
      <c r="AW167" s="59"/>
    </row>
    <row r="168" spans="1:49" s="55" customFormat="1" x14ac:dyDescent="0.25">
      <c r="A168" s="60">
        <v>5</v>
      </c>
      <c r="B168" s="60" t="e">
        <f>E101</f>
        <v>#REF!</v>
      </c>
      <c r="C168" s="60" t="e">
        <f>VLOOKUP(B168,AU$3:AW$33,3,FALSE)</f>
        <v>#REF!</v>
      </c>
      <c r="D168" s="60" t="e">
        <f>IF(B161,B172,IF(D161,D172,C168))</f>
        <v>#REF!</v>
      </c>
      <c r="E168" s="60"/>
      <c r="F168" s="60"/>
      <c r="G168" s="60" t="e">
        <f>IF(E161,E172,IF(G161,G172,D168))</f>
        <v>#REF!</v>
      </c>
      <c r="H168" s="60"/>
      <c r="I168" s="60"/>
      <c r="J168" s="60" t="e">
        <f>IF(H161,H172,IF(J161,J172,G168))</f>
        <v>#REF!</v>
      </c>
      <c r="K168" s="60"/>
      <c r="L168" s="60"/>
      <c r="M168" s="60" t="e">
        <f>IF(K161,K172,IF(M161,M172,J168))</f>
        <v>#REF!</v>
      </c>
      <c r="N168" s="60"/>
      <c r="O168" s="60"/>
      <c r="P168" s="60" t="e">
        <f>IF(N161,N172,IF(P161,P172,M168))</f>
        <v>#REF!</v>
      </c>
      <c r="Q168" s="60"/>
      <c r="R168" s="60"/>
      <c r="S168" s="60" t="e">
        <f>IF(Q161,Q172,IF(S161,S172,P168))</f>
        <v>#REF!</v>
      </c>
      <c r="T168" s="60"/>
      <c r="U168" s="60"/>
      <c r="V168" s="60" t="e">
        <f>IF(T161,T172,IF(V161,V172,S168))</f>
        <v>#REF!</v>
      </c>
      <c r="W168" s="60"/>
      <c r="X168" s="60"/>
      <c r="Y168" s="60" t="e">
        <f>IF(W161,W172,IF(Y161,Y172,V168))</f>
        <v>#REF!</v>
      </c>
      <c r="Z168" s="60"/>
      <c r="AA168" s="60"/>
      <c r="AB168" s="60" t="e">
        <f>IF(Z161,Z172,IF(AB161,AB172,Y168))</f>
        <v>#REF!</v>
      </c>
      <c r="AC168" s="60"/>
      <c r="AD168" s="60"/>
      <c r="AE168" s="60" t="e">
        <f>IF(AC161,AC172,IF(AE161,AE172,AB168))</f>
        <v>#REF!</v>
      </c>
      <c r="AF168" s="4"/>
      <c r="AG168" s="4"/>
      <c r="AJ168" s="4"/>
      <c r="AL168" s="4"/>
      <c r="AM168" s="4"/>
      <c r="AN168" s="4"/>
      <c r="AO168" s="4"/>
      <c r="AT168" s="55" t="e">
        <f>B168</f>
        <v>#REF!</v>
      </c>
      <c r="AU168" s="55" t="e">
        <f>AE168</f>
        <v>#REF!</v>
      </c>
      <c r="AW168" s="59"/>
    </row>
    <row r="169" spans="1:49" s="55" customFormat="1" x14ac:dyDescent="0.25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4"/>
      <c r="AG169" s="4"/>
      <c r="AJ169" s="4"/>
      <c r="AL169" s="4"/>
      <c r="AM169" s="4"/>
      <c r="AN169" s="4"/>
      <c r="AO169" s="4"/>
      <c r="AW169" s="59"/>
    </row>
    <row r="170" spans="1:49" s="55" customFormat="1" x14ac:dyDescent="0.25">
      <c r="A170" s="60" t="s">
        <v>96</v>
      </c>
      <c r="B170" s="60">
        <f>VLOOKUP(B109,$A164:$AE168,3,FALSE)</f>
        <v>1223.1136240322348</v>
      </c>
      <c r="C170" s="60">
        <v>1</v>
      </c>
      <c r="D170" s="60">
        <f>VLOOKUP(D109,$A164:$AE168,3,FALSE)</f>
        <v>1244.7621216501866</v>
      </c>
      <c r="E170" s="60">
        <f>VLOOKUP(E109,$A164:$AE168,4,FALSE)</f>
        <v>1182.2992844711323</v>
      </c>
      <c r="F170" s="60">
        <v>2</v>
      </c>
      <c r="G170" s="60">
        <f>VLOOKUP(G109,$A164:$AE168,4,FALSE)</f>
        <v>1134.0505608585845</v>
      </c>
      <c r="H170" s="60">
        <f>VLOOKUP(H109,$A164:$AE168,7,FALSE)</f>
        <v>1231.611455008413</v>
      </c>
      <c r="I170" s="60">
        <v>3</v>
      </c>
      <c r="J170" s="60">
        <f>VLOOKUP(J109,$A164:$AE168,7,FALSE)</f>
        <v>1127.154441712765</v>
      </c>
      <c r="K170" s="60">
        <f>VLOOKUP(K109,$A164:$AE168,10,FALSE)</f>
        <v>1189.1954036169518</v>
      </c>
      <c r="L170" s="60">
        <v>4</v>
      </c>
      <c r="M170" s="60">
        <f>VLOOKUP(M109,$A164:$AE168,10,FALSE)</f>
        <v>1236.2642906740084</v>
      </c>
      <c r="N170" s="60">
        <f>VLOOKUP(N109,$A164:$AE168,13,FALSE)</f>
        <v>1243.187071699354</v>
      </c>
      <c r="O170" s="60">
        <v>5</v>
      </c>
      <c r="P170" s="60">
        <f>VLOOKUP(P109,$A164:$AE168,13,FALSE)</f>
        <v>1121.4897110498698</v>
      </c>
      <c r="Q170" s="60">
        <f>VLOOKUP(Q109,$A164:$AE168,16,FALSE)</f>
        <v>1182.2726225916063</v>
      </c>
      <c r="R170" s="60">
        <v>6</v>
      </c>
      <c r="S170" s="60">
        <f>VLOOKUP(S109,$A164:$AE168,16,FALSE)</f>
        <v>1237.2761856713082</v>
      </c>
      <c r="T170" s="60" t="e">
        <f>VLOOKUP(T109,$A164:$AE168,19,FALSE)</f>
        <v>#N/A</v>
      </c>
      <c r="U170" s="60">
        <v>7</v>
      </c>
      <c r="V170" s="60" t="e">
        <f>VLOOKUP(V109,$A164:$AE168,19,FALSE)</f>
        <v>#N/A</v>
      </c>
      <c r="W170" s="60" t="e">
        <f>VLOOKUP(W109,$A164:$AE168,22,FALSE)</f>
        <v>#N/A</v>
      </c>
      <c r="X170" s="60">
        <v>8</v>
      </c>
      <c r="Y170" s="60" t="e">
        <f>VLOOKUP(Y109,$A164:$AE168,22,FALSE)</f>
        <v>#N/A</v>
      </c>
      <c r="Z170" s="60" t="e">
        <f>VLOOKUP(Z109,$A164:$AE168,25,FALSE)</f>
        <v>#N/A</v>
      </c>
      <c r="AA170" s="60">
        <v>9</v>
      </c>
      <c r="AB170" s="60" t="e">
        <f>VLOOKUP(AB109,$A164:$AE168,25,FALSE)</f>
        <v>#N/A</v>
      </c>
      <c r="AC170" s="60" t="e">
        <f>VLOOKUP(AC109,$A164:$AE168,28,FALSE)</f>
        <v>#N/A</v>
      </c>
      <c r="AD170" s="60">
        <v>10</v>
      </c>
      <c r="AE170" s="60" t="e">
        <f>VLOOKUP(AE109,$A164:$AE168,28,FALSE)</f>
        <v>#N/A</v>
      </c>
      <c r="AF170" s="4"/>
      <c r="AG170" s="73"/>
      <c r="AH170" s="73"/>
      <c r="AI170" s="73"/>
      <c r="AJ170" s="73"/>
      <c r="AK170" s="73"/>
      <c r="AL170" s="73"/>
      <c r="AM170" s="73"/>
      <c r="AN170" s="74"/>
      <c r="AO170" s="74"/>
      <c r="AP170" s="74"/>
      <c r="AQ170" s="74"/>
      <c r="AW170" s="59"/>
    </row>
    <row r="171" spans="1:49" s="65" customFormat="1" x14ac:dyDescent="0.25">
      <c r="A171" s="61" t="s">
        <v>97</v>
      </c>
      <c r="B171" s="61">
        <f>1/(1+(10^-((B170-D170)/400)))*(B121+D121)</f>
        <v>0.4688855639888595</v>
      </c>
      <c r="C171" s="61"/>
      <c r="D171" s="61">
        <f>1/(1+(10^-((D170-B170)/400)))*(B121+D121)</f>
        <v>0.53111443601114061</v>
      </c>
      <c r="E171" s="61">
        <f>1/(1+(10^-((E170-G170)/400)))*(E121+G121)</f>
        <v>0.56899255338628629</v>
      </c>
      <c r="F171" s="61"/>
      <c r="G171" s="61">
        <f>1/(1+(10^-((G170-E170)/400)))*(E121+G121)</f>
        <v>0.43100744661371371</v>
      </c>
      <c r="H171" s="61">
        <f>1/(1+(10^-((H170-J170)/400)))*(H121+J121)</f>
        <v>0.64595433356905407</v>
      </c>
      <c r="I171" s="61"/>
      <c r="J171" s="61">
        <f>1/(1+(10^-((J170-H170)/400)))*(H121+J121)</f>
        <v>0.35404566643094598</v>
      </c>
      <c r="K171" s="61">
        <f>1/(1+(10^-((K170-M170)/400)))*(K121+M121)</f>
        <v>0.43267381408409994</v>
      </c>
      <c r="L171" s="61"/>
      <c r="M171" s="61">
        <f>1/(1+(10^-((M170-K170)/400)))*(K121+M121)</f>
        <v>0.56732618591590012</v>
      </c>
      <c r="N171" s="61">
        <f>1/(1+(10^-((N170-P170)/400)))*(N121+P121)</f>
        <v>0.66830888748407802</v>
      </c>
      <c r="O171" s="61"/>
      <c r="P171" s="61">
        <f>1/(1+(10^-((P170-N170)/400)))*(N121+P121)</f>
        <v>0.33169111251592204</v>
      </c>
      <c r="Q171" s="61">
        <f>1/(1+(10^-((Q170-S170)/400)))*(Q121+S121)</f>
        <v>0.42149824636125244</v>
      </c>
      <c r="R171" s="61"/>
      <c r="S171" s="61">
        <f>1/(1+(10^-((S170-Q170)/400)))*(Q121+S121)</f>
        <v>0.57850175363874767</v>
      </c>
      <c r="T171" s="61" t="e">
        <f>1/(1+(10^-((T170-V170)/400)))*(T121+V121)</f>
        <v>#N/A</v>
      </c>
      <c r="U171" s="61"/>
      <c r="V171" s="61" t="e">
        <f>1/(1+(10^-((V170-T170)/400)))*(T121+V121)</f>
        <v>#N/A</v>
      </c>
      <c r="W171" s="61" t="e">
        <f>1/(1+(10^-((W170-Y170)/400)))*(W121+Y121)</f>
        <v>#N/A</v>
      </c>
      <c r="X171" s="61"/>
      <c r="Y171" s="61" t="e">
        <f>1/(1+(10^-((Y170-W170)/400)))*(W121+Y121)</f>
        <v>#N/A</v>
      </c>
      <c r="Z171" s="61" t="e">
        <f>1/(1+(10^-((Z170-AB170)/400)))*(Z121+AB121)</f>
        <v>#N/A</v>
      </c>
      <c r="AA171" s="61"/>
      <c r="AB171" s="61" t="e">
        <f>1/(1+(10^-((AB170-Z170)/400)))*(Z121+AB121)</f>
        <v>#N/A</v>
      </c>
      <c r="AC171" s="61" t="e">
        <f>1/(1+(10^-((AC170-AE170)/400)))*(AC121+AE121)</f>
        <v>#N/A</v>
      </c>
      <c r="AD171" s="61"/>
      <c r="AE171" s="61" t="e">
        <f>1/(1+(10^-((AE170-AC170)/400)))*(AC121+AE121)</f>
        <v>#N/A</v>
      </c>
      <c r="AF171" s="62"/>
      <c r="AG171" s="63"/>
      <c r="AH171" s="63"/>
      <c r="AI171" s="63"/>
      <c r="AJ171" s="63"/>
      <c r="AK171" s="63"/>
      <c r="AL171" s="63"/>
      <c r="AM171" s="63"/>
      <c r="AN171" s="64"/>
      <c r="AO171" s="64"/>
      <c r="AP171" s="64"/>
      <c r="AQ171" s="64"/>
      <c r="AW171" s="66"/>
    </row>
    <row r="172" spans="1:49" s="71" customFormat="1" x14ac:dyDescent="0.25">
      <c r="A172" s="67" t="s">
        <v>98</v>
      </c>
      <c r="B172" s="67">
        <f>B170+(B121-B171)*$BA$1</f>
        <v>1231.611455008413</v>
      </c>
      <c r="C172" s="67"/>
      <c r="D172" s="67">
        <f>D170+(D121-D171)*$BA$1</f>
        <v>1236.2642906740084</v>
      </c>
      <c r="E172" s="67">
        <f>E170+(E121-E171)*$BA$1</f>
        <v>1189.1954036169518</v>
      </c>
      <c r="F172" s="67"/>
      <c r="G172" s="67">
        <f>G170+(G121-G171)*$BA$1</f>
        <v>1127.154441712765</v>
      </c>
      <c r="H172" s="67">
        <f>H170+(H121-H171)*$BA$1</f>
        <v>1237.2761856713082</v>
      </c>
      <c r="I172" s="67"/>
      <c r="J172" s="67">
        <f>J170+(J121-J171)*$BA$1</f>
        <v>1121.4897110498698</v>
      </c>
      <c r="K172" s="67">
        <f>K170+(K121-K171)*$BA$1</f>
        <v>1182.2726225916063</v>
      </c>
      <c r="L172" s="67"/>
      <c r="M172" s="67">
        <f>M170+(M121-M171)*$BA$1</f>
        <v>1243.187071699354</v>
      </c>
      <c r="N172" s="67">
        <f>N170+(N121-N171)*$BA$1</f>
        <v>1232.4941294996088</v>
      </c>
      <c r="O172" s="67"/>
      <c r="P172" s="67">
        <f>P170+(P121-P171)*$BA$1</f>
        <v>1132.182653249615</v>
      </c>
      <c r="Q172" s="67">
        <f>Q170+(Q121-Q171)*$BA$1</f>
        <v>1191.5286506498262</v>
      </c>
      <c r="R172" s="67"/>
      <c r="S172" s="67">
        <f>S170+(S121-S171)*$BA$1</f>
        <v>1228.0201576130883</v>
      </c>
      <c r="T172" s="67" t="e">
        <f>T170+(T121-T171)*$BA$1</f>
        <v>#N/A</v>
      </c>
      <c r="U172" s="67"/>
      <c r="V172" s="67" t="e">
        <f>V170+(V121-V171)*$BA$1</f>
        <v>#N/A</v>
      </c>
      <c r="W172" s="67" t="e">
        <f>W170+(W121-W171)*$BA$1</f>
        <v>#N/A</v>
      </c>
      <c r="X172" s="67"/>
      <c r="Y172" s="67" t="e">
        <f>Y170+(Y121-Y171)*$BA$1</f>
        <v>#N/A</v>
      </c>
      <c r="Z172" s="67" t="e">
        <f>Z170+(Z121-Z171)*$BA$1</f>
        <v>#N/A</v>
      </c>
      <c r="AA172" s="67"/>
      <c r="AB172" s="67" t="e">
        <f>AB170+(AB121-AB171)*$BA$1</f>
        <v>#N/A</v>
      </c>
      <c r="AC172" s="67" t="e">
        <f>AC170+(AC121-AC171)*$BA$1</f>
        <v>#N/A</v>
      </c>
      <c r="AD172" s="67"/>
      <c r="AE172" s="67" t="e">
        <f>AE170+(AE121-AE171)*$BA$1</f>
        <v>#N/A</v>
      </c>
      <c r="AF172" s="68"/>
      <c r="AG172" s="69"/>
      <c r="AH172" s="69"/>
      <c r="AI172" s="69"/>
      <c r="AJ172" s="69"/>
      <c r="AK172" s="69"/>
      <c r="AL172" s="69"/>
      <c r="AM172" s="69"/>
      <c r="AN172" s="70"/>
      <c r="AO172" s="70"/>
      <c r="AP172" s="70"/>
      <c r="AQ172" s="70"/>
      <c r="AW172" s="72"/>
    </row>
    <row r="173" spans="1:49" s="71" customFormat="1" x14ac:dyDescent="0.25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8"/>
      <c r="AG173" s="69"/>
      <c r="AH173" s="69"/>
      <c r="AI173" s="69"/>
      <c r="AJ173" s="69"/>
      <c r="AK173" s="69"/>
      <c r="AL173" s="69"/>
      <c r="AM173" s="69"/>
      <c r="AN173" s="70"/>
      <c r="AO173" s="70"/>
      <c r="AP173" s="70"/>
      <c r="AQ173" s="70"/>
      <c r="AT173" s="72"/>
    </row>
    <row r="174" spans="1:49" s="55" customFormat="1" ht="14.4" customHeight="1" x14ac:dyDescent="0.25">
      <c r="A174" s="151" t="str">
        <f>IF($AK95=1,"Pool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Pool Tiereaker : 1) Matches Won vs Lost (if 3 way tie then #4)  2) Head to Head  3) Game Win %  4) Total Pool Net Points  5) Flip a Coin</v>
      </c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2"/>
      <c r="AO174" s="152"/>
      <c r="AP174" s="152"/>
      <c r="AQ174" s="152"/>
    </row>
  </sheetData>
  <sheetProtection formatCells="0" selectLockedCells="1"/>
  <mergeCells count="283">
    <mergeCell ref="Z108:AB108"/>
    <mergeCell ref="AC108:AE108"/>
    <mergeCell ref="AG142:AK142"/>
    <mergeCell ref="A174:AM174"/>
    <mergeCell ref="AN174:AQ174"/>
    <mergeCell ref="Z107:AB107"/>
    <mergeCell ref="AC107:AE107"/>
    <mergeCell ref="B108:D108"/>
    <mergeCell ref="E108:G108"/>
    <mergeCell ref="H108:J108"/>
    <mergeCell ref="K108:M108"/>
    <mergeCell ref="N108:P108"/>
    <mergeCell ref="Q108:S108"/>
    <mergeCell ref="T108:V108"/>
    <mergeCell ref="W108:Y108"/>
    <mergeCell ref="Z106:AB106"/>
    <mergeCell ref="AC106:AE106"/>
    <mergeCell ref="B107:D107"/>
    <mergeCell ref="E107:G107"/>
    <mergeCell ref="H107:J107"/>
    <mergeCell ref="K107:M107"/>
    <mergeCell ref="N107:P107"/>
    <mergeCell ref="Q107:S107"/>
    <mergeCell ref="T107:V107"/>
    <mergeCell ref="W107:Y107"/>
    <mergeCell ref="Z105:AB105"/>
    <mergeCell ref="AC105:AE105"/>
    <mergeCell ref="B106:D106"/>
    <mergeCell ref="E106:G106"/>
    <mergeCell ref="H106:J106"/>
    <mergeCell ref="K106:M106"/>
    <mergeCell ref="N106:P106"/>
    <mergeCell ref="Q106:S106"/>
    <mergeCell ref="T106:V106"/>
    <mergeCell ref="W106:Y106"/>
    <mergeCell ref="AC104:AE104"/>
    <mergeCell ref="AF104:AQ107"/>
    <mergeCell ref="B105:D105"/>
    <mergeCell ref="E105:G105"/>
    <mergeCell ref="H105:J105"/>
    <mergeCell ref="K105:M105"/>
    <mergeCell ref="N105:P105"/>
    <mergeCell ref="Q105:S105"/>
    <mergeCell ref="T105:V105"/>
    <mergeCell ref="W105:Y105"/>
    <mergeCell ref="B103:AI103"/>
    <mergeCell ref="B104:D104"/>
    <mergeCell ref="E104:G104"/>
    <mergeCell ref="H104:J104"/>
    <mergeCell ref="K104:M104"/>
    <mergeCell ref="N104:P104"/>
    <mergeCell ref="Q104:S104"/>
    <mergeCell ref="T104:V104"/>
    <mergeCell ref="W104:Y104"/>
    <mergeCell ref="Z104:AB104"/>
    <mergeCell ref="Z101:AB102"/>
    <mergeCell ref="AC101:AE102"/>
    <mergeCell ref="AF101:AF102"/>
    <mergeCell ref="AG101:AG102"/>
    <mergeCell ref="AH101:AI102"/>
    <mergeCell ref="B102:D102"/>
    <mergeCell ref="E102:K102"/>
    <mergeCell ref="A101:A102"/>
    <mergeCell ref="B101:D101"/>
    <mergeCell ref="E101:K101"/>
    <mergeCell ref="L101:P102"/>
    <mergeCell ref="R101:V102"/>
    <mergeCell ref="W101:Y102"/>
    <mergeCell ref="Z99:AB100"/>
    <mergeCell ref="AC99:AE100"/>
    <mergeCell ref="AF99:AF100"/>
    <mergeCell ref="AG99:AG100"/>
    <mergeCell ref="AH99:AI100"/>
    <mergeCell ref="B100:D100"/>
    <mergeCell ref="E100:K100"/>
    <mergeCell ref="A99:A100"/>
    <mergeCell ref="B99:D99"/>
    <mergeCell ref="E99:K99"/>
    <mergeCell ref="L99:P100"/>
    <mergeCell ref="R99:V100"/>
    <mergeCell ref="W99:Y100"/>
    <mergeCell ref="Z97:AB98"/>
    <mergeCell ref="AC97:AE98"/>
    <mergeCell ref="AF97:AF98"/>
    <mergeCell ref="AG97:AG98"/>
    <mergeCell ref="AH97:AI98"/>
    <mergeCell ref="B98:D98"/>
    <mergeCell ref="E98:K98"/>
    <mergeCell ref="A97:A98"/>
    <mergeCell ref="B97:D97"/>
    <mergeCell ref="E97:K97"/>
    <mergeCell ref="L97:P98"/>
    <mergeCell ref="R97:V98"/>
    <mergeCell ref="W97:Y98"/>
    <mergeCell ref="Z95:AB96"/>
    <mergeCell ref="AC95:AE96"/>
    <mergeCell ref="AF95:AF96"/>
    <mergeCell ref="AG95:AG96"/>
    <mergeCell ref="AH95:AI96"/>
    <mergeCell ref="B96:D96"/>
    <mergeCell ref="E96:K96"/>
    <mergeCell ref="AG93:AG94"/>
    <mergeCell ref="AH93:AI94"/>
    <mergeCell ref="B94:D94"/>
    <mergeCell ref="E94:K94"/>
    <mergeCell ref="A95:A96"/>
    <mergeCell ref="B95:D95"/>
    <mergeCell ref="E95:K95"/>
    <mergeCell ref="L95:P96"/>
    <mergeCell ref="R95:V96"/>
    <mergeCell ref="W95:Y96"/>
    <mergeCell ref="AH92:AI92"/>
    <mergeCell ref="A93:A94"/>
    <mergeCell ref="B93:D93"/>
    <mergeCell ref="E93:K93"/>
    <mergeCell ref="L93:P94"/>
    <mergeCell ref="R93:V94"/>
    <mergeCell ref="W93:Y94"/>
    <mergeCell ref="Z93:AB94"/>
    <mergeCell ref="AC93:AE94"/>
    <mergeCell ref="AF93:AF94"/>
    <mergeCell ref="C91:H91"/>
    <mergeCell ref="I91:J91"/>
    <mergeCell ref="K91:AI91"/>
    <mergeCell ref="B92:K92"/>
    <mergeCell ref="L92:P92"/>
    <mergeCell ref="Q92:Q102"/>
    <mergeCell ref="R92:V92"/>
    <mergeCell ref="W92:Y92"/>
    <mergeCell ref="Z92:AB92"/>
    <mergeCell ref="AC92:AE92"/>
    <mergeCell ref="Z23:AB23"/>
    <mergeCell ref="AC23:AE23"/>
    <mergeCell ref="AG57:AK57"/>
    <mergeCell ref="A89:AM89"/>
    <mergeCell ref="AN89:AQ89"/>
    <mergeCell ref="A90:AQ90"/>
    <mergeCell ref="Z22:AB22"/>
    <mergeCell ref="AC22:AE22"/>
    <mergeCell ref="B23:D23"/>
    <mergeCell ref="E23:G23"/>
    <mergeCell ref="H23:J23"/>
    <mergeCell ref="K23:M23"/>
    <mergeCell ref="N23:P23"/>
    <mergeCell ref="Q23:S23"/>
    <mergeCell ref="T23:V23"/>
    <mergeCell ref="W23:Y23"/>
    <mergeCell ref="Z21:AB21"/>
    <mergeCell ref="AC21:AE21"/>
    <mergeCell ref="B22:D22"/>
    <mergeCell ref="E22:G22"/>
    <mergeCell ref="H22:J22"/>
    <mergeCell ref="K22:M22"/>
    <mergeCell ref="N22:P22"/>
    <mergeCell ref="Q22:S22"/>
    <mergeCell ref="T22:V22"/>
    <mergeCell ref="W22:Y22"/>
    <mergeCell ref="Z20:AB20"/>
    <mergeCell ref="AC20:AE20"/>
    <mergeCell ref="B21:D21"/>
    <mergeCell ref="E21:G21"/>
    <mergeCell ref="H21:J21"/>
    <mergeCell ref="K21:M21"/>
    <mergeCell ref="N21:P21"/>
    <mergeCell ref="Q21:S21"/>
    <mergeCell ref="T21:V21"/>
    <mergeCell ref="W21:Y21"/>
    <mergeCell ref="AC19:AE19"/>
    <mergeCell ref="AF19:AQ22"/>
    <mergeCell ref="B20:D20"/>
    <mergeCell ref="E20:G20"/>
    <mergeCell ref="H20:J20"/>
    <mergeCell ref="K20:M20"/>
    <mergeCell ref="N20:P20"/>
    <mergeCell ref="Q20:S20"/>
    <mergeCell ref="T20:V20"/>
    <mergeCell ref="W20:Y20"/>
    <mergeCell ref="B18:AI18"/>
    <mergeCell ref="B19:D19"/>
    <mergeCell ref="E19:G19"/>
    <mergeCell ref="H19:J19"/>
    <mergeCell ref="K19:M19"/>
    <mergeCell ref="N19:P19"/>
    <mergeCell ref="Q19:S19"/>
    <mergeCell ref="T19:V19"/>
    <mergeCell ref="W19:Y19"/>
    <mergeCell ref="Z19:AB19"/>
    <mergeCell ref="Z16:AB17"/>
    <mergeCell ref="AC16:AE17"/>
    <mergeCell ref="AF16:AF17"/>
    <mergeCell ref="AG16:AG17"/>
    <mergeCell ref="AH16:AI17"/>
    <mergeCell ref="B17:D17"/>
    <mergeCell ref="E17:K17"/>
    <mergeCell ref="A16:A17"/>
    <mergeCell ref="B16:D16"/>
    <mergeCell ref="E16:K16"/>
    <mergeCell ref="L16:P17"/>
    <mergeCell ref="R16:V17"/>
    <mergeCell ref="W16:Y17"/>
    <mergeCell ref="Z14:AB15"/>
    <mergeCell ref="AC14:AE15"/>
    <mergeCell ref="AF14:AF15"/>
    <mergeCell ref="AG14:AG15"/>
    <mergeCell ref="AH14:AI15"/>
    <mergeCell ref="B15:D15"/>
    <mergeCell ref="E15:K15"/>
    <mergeCell ref="A14:A15"/>
    <mergeCell ref="B14:D14"/>
    <mergeCell ref="E14:K14"/>
    <mergeCell ref="L14:P15"/>
    <mergeCell ref="R14:V15"/>
    <mergeCell ref="W14:Y15"/>
    <mergeCell ref="Z12:AB13"/>
    <mergeCell ref="AC12:AE13"/>
    <mergeCell ref="AF12:AF13"/>
    <mergeCell ref="AG12:AG13"/>
    <mergeCell ref="AH12:AI13"/>
    <mergeCell ref="B13:D13"/>
    <mergeCell ref="E13:K13"/>
    <mergeCell ref="A12:A13"/>
    <mergeCell ref="B12:D12"/>
    <mergeCell ref="E12:K12"/>
    <mergeCell ref="L12:P13"/>
    <mergeCell ref="R12:V13"/>
    <mergeCell ref="W12:Y13"/>
    <mergeCell ref="Z10:AB11"/>
    <mergeCell ref="AC10:AE11"/>
    <mergeCell ref="AF10:AF11"/>
    <mergeCell ref="AG10:AG11"/>
    <mergeCell ref="AH10:AI11"/>
    <mergeCell ref="B11:D11"/>
    <mergeCell ref="E11:K11"/>
    <mergeCell ref="A10:A11"/>
    <mergeCell ref="B10:D10"/>
    <mergeCell ref="E10:K10"/>
    <mergeCell ref="L10:P11"/>
    <mergeCell ref="R10:V11"/>
    <mergeCell ref="W10:Y11"/>
    <mergeCell ref="AC8:AE9"/>
    <mergeCell ref="AF8:AF9"/>
    <mergeCell ref="AG8:AG9"/>
    <mergeCell ref="AH8:AI9"/>
    <mergeCell ref="B9:D9"/>
    <mergeCell ref="E9:K9"/>
    <mergeCell ref="Z7:AB7"/>
    <mergeCell ref="AC7:AE7"/>
    <mergeCell ref="AH7:AI7"/>
    <mergeCell ref="A8:A9"/>
    <mergeCell ref="B8:D8"/>
    <mergeCell ref="E8:K8"/>
    <mergeCell ref="L8:P9"/>
    <mergeCell ref="R8:V9"/>
    <mergeCell ref="W8:Y9"/>
    <mergeCell ref="Z8:AB9"/>
    <mergeCell ref="B5:J5"/>
    <mergeCell ref="K5:AE5"/>
    <mergeCell ref="C6:H6"/>
    <mergeCell ref="I6:J6"/>
    <mergeCell ref="K6:AI6"/>
    <mergeCell ref="B7:K7"/>
    <mergeCell ref="L7:P7"/>
    <mergeCell ref="Q7:Q17"/>
    <mergeCell ref="R7:V7"/>
    <mergeCell ref="W7:Y7"/>
    <mergeCell ref="A4:D4"/>
    <mergeCell ref="E4:M4"/>
    <mergeCell ref="N4:Q4"/>
    <mergeCell ref="R4:AA4"/>
    <mergeCell ref="AB4:AE4"/>
    <mergeCell ref="AF4:AI4"/>
    <mergeCell ref="B3:O3"/>
    <mergeCell ref="P3:R3"/>
    <mergeCell ref="S3:X3"/>
    <mergeCell ref="Y3:AD3"/>
    <mergeCell ref="AE3:AF3"/>
    <mergeCell ref="AG3:AI3"/>
    <mergeCell ref="A1:AI1"/>
    <mergeCell ref="AT1:AV1"/>
    <mergeCell ref="A2:I2"/>
    <mergeCell ref="J2:X2"/>
    <mergeCell ref="Y2:AC2"/>
    <mergeCell ref="AD2:AI2"/>
  </mergeCells>
  <conditionalFormatting sqref="A93 A8">
    <cfRule type="expression" dxfId="2274" priority="360" stopIfTrue="1">
      <formula>IF(AK9&gt;0,0,1)</formula>
    </cfRule>
  </conditionalFormatting>
  <conditionalFormatting sqref="A95:A96 A10:A11">
    <cfRule type="expression" dxfId="2273" priority="359" stopIfTrue="1">
      <formula>IF(AK9&gt;1,0,1)</formula>
    </cfRule>
  </conditionalFormatting>
  <conditionalFormatting sqref="A97:A98 A12:A13">
    <cfRule type="expression" dxfId="2272" priority="358" stopIfTrue="1">
      <formula>IF(AK9&gt;2,0,1)</formula>
    </cfRule>
  </conditionalFormatting>
  <conditionalFormatting sqref="A99:A100 A14:A15">
    <cfRule type="expression" dxfId="2271" priority="357" stopIfTrue="1">
      <formula>IF(AK9&gt;3,0,1)</formula>
    </cfRule>
  </conditionalFormatting>
  <conditionalFormatting sqref="A101:A102 A16:A17">
    <cfRule type="expression" dxfId="2270" priority="356" stopIfTrue="1">
      <formula>IF(AK9&gt;4,0,1)</formula>
    </cfRule>
  </conditionalFormatting>
  <conditionalFormatting sqref="B8 B93">
    <cfRule type="expression" dxfId="2269" priority="355" stopIfTrue="1">
      <formula>IF(AK9&gt;0,0,1)</formula>
    </cfRule>
  </conditionalFormatting>
  <conditionalFormatting sqref="B9 B94">
    <cfRule type="expression" dxfId="2268" priority="354" stopIfTrue="1">
      <formula>IF(AK9&gt;0,0,1)</formula>
    </cfRule>
  </conditionalFormatting>
  <conditionalFormatting sqref="B10 B95">
    <cfRule type="expression" dxfId="2267" priority="353" stopIfTrue="1">
      <formula>IF(AK9&gt;1,0,1)</formula>
    </cfRule>
  </conditionalFormatting>
  <conditionalFormatting sqref="B11:D11 B96:D96">
    <cfRule type="expression" dxfId="2266" priority="352" stopIfTrue="1">
      <formula>IF(AK9&gt;1,0,1)</formula>
    </cfRule>
  </conditionalFormatting>
  <conditionalFormatting sqref="B12:D12 B97:D97">
    <cfRule type="expression" dxfId="2265" priority="351" stopIfTrue="1">
      <formula>IF(AK9&gt;2,0,1)</formula>
    </cfRule>
  </conditionalFormatting>
  <conditionalFormatting sqref="B13:D13 B98:D98">
    <cfRule type="expression" dxfId="2264" priority="350" stopIfTrue="1">
      <formula>IF(AK9&gt;2,0,1)</formula>
    </cfRule>
  </conditionalFormatting>
  <conditionalFormatting sqref="B14:D14 B99:D99">
    <cfRule type="expression" dxfId="2263" priority="349" stopIfTrue="1">
      <formula>IF(AK9&gt;3,0,1)</formula>
    </cfRule>
  </conditionalFormatting>
  <conditionalFormatting sqref="B15:D15 B100:D100">
    <cfRule type="expression" dxfId="2262" priority="348" stopIfTrue="1">
      <formula>IF(AK9&gt;3,0,1)</formula>
    </cfRule>
  </conditionalFormatting>
  <conditionalFormatting sqref="B16:D16 B101:D101">
    <cfRule type="expression" dxfId="2261" priority="347" stopIfTrue="1">
      <formula>IF(AK9&gt;4,0,1)</formula>
    </cfRule>
  </conditionalFormatting>
  <conditionalFormatting sqref="B17:D17 B102:D102">
    <cfRule type="expression" dxfId="2260" priority="346" stopIfTrue="1">
      <formula>IF(AK9&gt;4,0,1)</formula>
    </cfRule>
  </conditionalFormatting>
  <conditionalFormatting sqref="E99">
    <cfRule type="expression" dxfId="2259" priority="339" stopIfTrue="1">
      <formula>IF(AK94&gt;3,0,1)</formula>
    </cfRule>
  </conditionalFormatting>
  <conditionalFormatting sqref="E100">
    <cfRule type="expression" dxfId="2258" priority="338" stopIfTrue="1">
      <formula>IF(AK94&gt;3,0,1)</formula>
    </cfRule>
  </conditionalFormatting>
  <conditionalFormatting sqref="E16 E101">
    <cfRule type="expression" dxfId="2257" priority="337" stopIfTrue="1">
      <formula>IF(AK9&gt;4,0,1)</formula>
    </cfRule>
  </conditionalFormatting>
  <conditionalFormatting sqref="E17 E102">
    <cfRule type="expression" dxfId="2256" priority="336" stopIfTrue="1">
      <formula>IF(AK9&gt;4,0,1)</formula>
    </cfRule>
  </conditionalFormatting>
  <conditionalFormatting sqref="AC93 AC8">
    <cfRule type="expression" dxfId="2255" priority="335" stopIfTrue="1">
      <formula>IF(AK11=1,IF(AK9&gt;0,0,1),1)</formula>
    </cfRule>
  </conditionalFormatting>
  <conditionalFormatting sqref="AC95:AE96 AC10:AE11">
    <cfRule type="expression" dxfId="2254" priority="334" stopIfTrue="1">
      <formula>IF(AK11=1,IF(AK9&gt;1,0,1),1)</formula>
    </cfRule>
  </conditionalFormatting>
  <conditionalFormatting sqref="AC97:AE98 AC12:AE13">
    <cfRule type="expression" dxfId="2253" priority="333" stopIfTrue="1">
      <formula>IF(AK11=1,IF(AK9&gt;2,0,1),1)</formula>
    </cfRule>
  </conditionalFormatting>
  <conditionalFormatting sqref="AC99:AE100 AC14:AE15">
    <cfRule type="expression" dxfId="2252" priority="332" stopIfTrue="1">
      <formula>IF(AK11=1,IF(AK9&gt;3,0,1),1)</formula>
    </cfRule>
  </conditionalFormatting>
  <conditionalFormatting sqref="AC101:AE102 AC16:AE17">
    <cfRule type="expression" dxfId="2251" priority="331" stopIfTrue="1">
      <formula>IF(AK11=1,IF(AK9&gt;4,0,1),1)</formula>
    </cfRule>
  </conditionalFormatting>
  <conditionalFormatting sqref="AH93 AH8">
    <cfRule type="expression" dxfId="2250" priority="330" stopIfTrue="1">
      <formula>IF(AK9&gt;0,0,1)</formula>
    </cfRule>
  </conditionalFormatting>
  <conditionalFormatting sqref="AH95:AI96 AH10:AI11">
    <cfRule type="expression" dxfId="2249" priority="329" stopIfTrue="1">
      <formula>IF(AK9&gt;1,0,1)</formula>
    </cfRule>
  </conditionalFormatting>
  <conditionalFormatting sqref="AH97:AI98 AH12:AI13">
    <cfRule type="expression" dxfId="2248" priority="328" stopIfTrue="1">
      <formula>IF(AK9&gt;2,0,1)</formula>
    </cfRule>
  </conditionalFormatting>
  <conditionalFormatting sqref="AH99:AI100 AH14:AI15">
    <cfRule type="expression" dxfId="2247" priority="327" stopIfTrue="1">
      <formula>IF(AK9&gt;3,0,1)</formula>
    </cfRule>
  </conditionalFormatting>
  <conditionalFormatting sqref="AH101:AI102 AH16:AI17">
    <cfRule type="expression" dxfId="2246" priority="326" stopIfTrue="1">
      <formula>IF(AK9&gt;4,0,1)</formula>
    </cfRule>
  </conditionalFormatting>
  <conditionalFormatting sqref="K19:M19 K104:M104">
    <cfRule type="expression" dxfId="2245" priority="325" stopIfTrue="1">
      <formula>IF(AK8&gt;3,0,1)</formula>
    </cfRule>
  </conditionalFormatting>
  <conditionalFormatting sqref="N19:P19 N104:P104">
    <cfRule type="expression" dxfId="2244" priority="324" stopIfTrue="1">
      <formula>IF(AK8&gt;4,0,1)</formula>
    </cfRule>
  </conditionalFormatting>
  <conditionalFormatting sqref="Q19:S19 Q104:S104">
    <cfRule type="expression" dxfId="2243" priority="323" stopIfTrue="1">
      <formula>IF(AK8&gt;5,0,1)</formula>
    </cfRule>
  </conditionalFormatting>
  <conditionalFormatting sqref="T19:V19 T104:V104">
    <cfRule type="expression" dxfId="2242" priority="322" stopIfTrue="1">
      <formula>IF(AK8&gt;6,0,1)</formula>
    </cfRule>
  </conditionalFormatting>
  <conditionalFormatting sqref="W19:Y19 W104:Y104">
    <cfRule type="expression" dxfId="2241" priority="321" stopIfTrue="1">
      <formula>IF(AK8&gt;7,0,1)</formula>
    </cfRule>
  </conditionalFormatting>
  <conditionalFormatting sqref="Z19:AB19 Z104:AB104">
    <cfRule type="expression" dxfId="2240" priority="320" stopIfTrue="1">
      <formula>IF(AK8&gt;8,0,1)</formula>
    </cfRule>
  </conditionalFormatting>
  <conditionalFormatting sqref="AC19:AE19 AC104:AE104">
    <cfRule type="expression" dxfId="2239" priority="319" stopIfTrue="1">
      <formula>IF(AK8&gt;9,0,1)</formula>
    </cfRule>
  </conditionalFormatting>
  <conditionalFormatting sqref="B20:D20 B105:D105">
    <cfRule type="expression" dxfId="2238" priority="318" stopIfTrue="1">
      <formula>IF(AK8&gt;0,0,1)</formula>
    </cfRule>
  </conditionalFormatting>
  <conditionalFormatting sqref="E20:G20 E105:G105">
    <cfRule type="expression" dxfId="2237" priority="317" stopIfTrue="1">
      <formula>IF(AK8&gt;1,0,1)</formula>
    </cfRule>
  </conditionalFormatting>
  <conditionalFormatting sqref="H20:J20 H105:J105">
    <cfRule type="expression" dxfId="2236" priority="316" stopIfTrue="1">
      <formula>IF(AK8&gt;2,0,1)</formula>
    </cfRule>
  </conditionalFormatting>
  <conditionalFormatting sqref="K105:M105 K20:M20">
    <cfRule type="expression" dxfId="2235" priority="315" stopIfTrue="1">
      <formula>IF(AK8&gt;3,0,1)</formula>
    </cfRule>
  </conditionalFormatting>
  <conditionalFormatting sqref="N105:P105 N20:P20">
    <cfRule type="expression" dxfId="2234" priority="314" stopIfTrue="1">
      <formula>IF(AK8&gt;4,0,1)</formula>
    </cfRule>
  </conditionalFormatting>
  <conditionalFormatting sqref="Q105:S105 Q20:S20">
    <cfRule type="expression" dxfId="2233" priority="313" stopIfTrue="1">
      <formula>IF(AK8&gt;5,0,1)</formula>
    </cfRule>
  </conditionalFormatting>
  <conditionalFormatting sqref="T105:V105 T20:V20">
    <cfRule type="expression" dxfId="2232" priority="312" stopIfTrue="1">
      <formula>IF(AK8&gt;6,0,1)</formula>
    </cfRule>
  </conditionalFormatting>
  <conditionalFormatting sqref="W105:Y105 W20:Y20">
    <cfRule type="expression" dxfId="2231" priority="311" stopIfTrue="1">
      <formula>IF(AK8&gt;7,0,1)</formula>
    </cfRule>
  </conditionalFormatting>
  <conditionalFormatting sqref="Z105:AB105 Z20:AB20">
    <cfRule type="expression" dxfId="2230" priority="310" stopIfTrue="1">
      <formula>IF(AK8&gt;8,0,1)</formula>
    </cfRule>
  </conditionalFormatting>
  <conditionalFormatting sqref="AC105:AE105 AC20:AE20">
    <cfRule type="expression" dxfId="2229" priority="309" stopIfTrue="1">
      <formula>IF(AK8&gt;9,0,1)</formula>
    </cfRule>
  </conditionalFormatting>
  <conditionalFormatting sqref="T22:V22 T107:V107">
    <cfRule type="expression" dxfId="2228" priority="303" stopIfTrue="1">
      <formula>IF(AK8&gt;6,0,1)</formula>
    </cfRule>
  </conditionalFormatting>
  <conditionalFormatting sqref="W22:Y22 W107:Y107">
    <cfRule type="expression" dxfId="2227" priority="302" stopIfTrue="1">
      <formula>IF(AK8&gt;7,0,1)</formula>
    </cfRule>
  </conditionalFormatting>
  <conditionalFormatting sqref="Z22:AB22 Z107:AB107">
    <cfRule type="expression" dxfId="2226" priority="301" stopIfTrue="1">
      <formula>IF(AK8&gt;8,0,1)</formula>
    </cfRule>
  </conditionalFormatting>
  <conditionalFormatting sqref="AC22:AE22 AC107:AE107">
    <cfRule type="expression" dxfId="2225" priority="300" stopIfTrue="1">
      <formula>IF(AK8&gt;9,0,1)</formula>
    </cfRule>
  </conditionalFormatting>
  <conditionalFormatting sqref="T108:V108 T23:V23">
    <cfRule type="expression" dxfId="2224" priority="281" stopIfTrue="1">
      <formula>IF(AK8&gt;6,0,1)</formula>
    </cfRule>
  </conditionalFormatting>
  <conditionalFormatting sqref="U24 U109">
    <cfRule type="expression" dxfId="2223" priority="280" stopIfTrue="1">
      <formula>IF(AK8&gt;6,0,1)</formula>
    </cfRule>
  </conditionalFormatting>
  <conditionalFormatting sqref="V24 V109">
    <cfRule type="expression" dxfId="2222" priority="279" stopIfTrue="1">
      <formula>IF(AK8&gt;6,0,1)</formula>
    </cfRule>
  </conditionalFormatting>
  <conditionalFormatting sqref="W108:Y108 W23:Y23">
    <cfRule type="expression" dxfId="2221" priority="278" stopIfTrue="1">
      <formula>IF(AK8&gt;7,0,1)</formula>
    </cfRule>
  </conditionalFormatting>
  <conditionalFormatting sqref="X24 X109">
    <cfRule type="expression" dxfId="2220" priority="277" stopIfTrue="1">
      <formula>IF(AK8&gt;7,0,1)</formula>
    </cfRule>
  </conditionalFormatting>
  <conditionalFormatting sqref="Y24 Y109">
    <cfRule type="expression" dxfId="2219" priority="276" stopIfTrue="1">
      <formula>IF(AK8&gt;7,0,1)</formula>
    </cfRule>
  </conditionalFormatting>
  <conditionalFormatting sqref="Z108:AB108 Z23:AB23">
    <cfRule type="expression" dxfId="2218" priority="275" stopIfTrue="1">
      <formula>IF(AK8&gt;8,0,1)</formula>
    </cfRule>
  </conditionalFormatting>
  <conditionalFormatting sqref="AA24 AA109">
    <cfRule type="expression" dxfId="2217" priority="274" stopIfTrue="1">
      <formula>IF(AK8&gt;8,0,1)</formula>
    </cfRule>
  </conditionalFormatting>
  <conditionalFormatting sqref="AB24 AB109">
    <cfRule type="expression" dxfId="2216" priority="273" stopIfTrue="1">
      <formula>IF(AK8&gt;8,0,1)</formula>
    </cfRule>
  </conditionalFormatting>
  <conditionalFormatting sqref="AC108:AE108 AC23:AE23">
    <cfRule type="expression" dxfId="2215" priority="272" stopIfTrue="1">
      <formula>IF(AK8&gt;9,0,1)</formula>
    </cfRule>
  </conditionalFormatting>
  <conditionalFormatting sqref="AD24 AD109">
    <cfRule type="expression" dxfId="2214" priority="271" stopIfTrue="1">
      <formula>IF(AK8&gt;9,0,1)</formula>
    </cfRule>
  </conditionalFormatting>
  <conditionalFormatting sqref="AE24 AE109">
    <cfRule type="expression" dxfId="2213" priority="270" stopIfTrue="1">
      <formula>IF(AK8&gt;9,0,1)</formula>
    </cfRule>
  </conditionalFormatting>
  <conditionalFormatting sqref="A26 A111">
    <cfRule type="expression" dxfId="2212" priority="269" stopIfTrue="1">
      <formula>IF(AK7&gt;1,0,1)</formula>
    </cfRule>
  </conditionalFormatting>
  <conditionalFormatting sqref="A27 A112">
    <cfRule type="expression" dxfId="2211" priority="268" stopIfTrue="1">
      <formula>IF(AK7&gt;2,0,1)</formula>
    </cfRule>
  </conditionalFormatting>
  <conditionalFormatting sqref="A28 A113">
    <cfRule type="expression" dxfId="2210" priority="267" stopIfTrue="1">
      <formula>IF(AK7&gt;3,0,1)</formula>
    </cfRule>
  </conditionalFormatting>
  <conditionalFormatting sqref="A29 A114">
    <cfRule type="expression" dxfId="2209" priority="266" stopIfTrue="1">
      <formula>IF(AK7&gt;4,0,1)</formula>
    </cfRule>
  </conditionalFormatting>
  <conditionalFormatting sqref="B27:D27 B112:D112">
    <cfRule type="expression" dxfId="2208" priority="263" stopIfTrue="1">
      <formula>IF($AK8&lt;1,1,IF($AK7&lt;3,1,0))</formula>
    </cfRule>
  </conditionalFormatting>
  <conditionalFormatting sqref="B28:D28 B113:D113">
    <cfRule type="expression" dxfId="2207" priority="262" stopIfTrue="1">
      <formula>IF($AK8&lt;1,1,IF($AK7&lt;4,1,0))</formula>
    </cfRule>
  </conditionalFormatting>
  <conditionalFormatting sqref="B29:D29 B114:D114">
    <cfRule type="expression" dxfId="2206" priority="261" stopIfTrue="1">
      <formula>IF($AK8&lt;1,1,IF($AK7&lt;5,1,0))</formula>
    </cfRule>
  </conditionalFormatting>
  <conditionalFormatting sqref="AF26 AF111">
    <cfRule type="expression" dxfId="2205" priority="260" stopIfTrue="1">
      <formula>IF($AK9&gt;2,0,1)</formula>
    </cfRule>
  </conditionalFormatting>
  <conditionalFormatting sqref="AF25 AF110">
    <cfRule type="expression" dxfId="2204" priority="259" stopIfTrue="1">
      <formula>IF($AK9&gt;1,0,1)</formula>
    </cfRule>
  </conditionalFormatting>
  <conditionalFormatting sqref="AF24 AF109">
    <cfRule type="expression" dxfId="2203" priority="258" stopIfTrue="1">
      <formula>IF($AK9&gt;0,0,1)</formula>
    </cfRule>
  </conditionalFormatting>
  <conditionalFormatting sqref="AF27 AF112">
    <cfRule type="expression" dxfId="2202" priority="257" stopIfTrue="1">
      <formula>IF($AK9&gt;3,0,1)</formula>
    </cfRule>
  </conditionalFormatting>
  <conditionalFormatting sqref="AF28 AF113">
    <cfRule type="expression" dxfId="2201" priority="256" stopIfTrue="1">
      <formula>IF($AK9&gt;4,0,1)</formula>
    </cfRule>
  </conditionalFormatting>
  <conditionalFormatting sqref="AG23 AG108">
    <cfRule type="expression" dxfId="2200" priority="255" stopIfTrue="1">
      <formula>IF($AK8&lt;1,1,0)</formula>
    </cfRule>
  </conditionalFormatting>
  <conditionalFormatting sqref="AH23 AH108">
    <cfRule type="expression" dxfId="2199" priority="254" stopIfTrue="1">
      <formula>IF($AK8&lt;2,1,0)</formula>
    </cfRule>
  </conditionalFormatting>
  <conditionalFormatting sqref="AI23 AI108">
    <cfRule type="expression" dxfId="2198" priority="253" stopIfTrue="1">
      <formula>IF($AK8&lt;3,1,0)</formula>
    </cfRule>
  </conditionalFormatting>
  <conditionalFormatting sqref="AJ23 AJ108">
    <cfRule type="expression" dxfId="2197" priority="252" stopIfTrue="1">
      <formula>IF($AK8&lt;4,1,0)</formula>
    </cfRule>
  </conditionalFormatting>
  <conditionalFormatting sqref="AK23 AK108">
    <cfRule type="expression" dxfId="2196" priority="251" stopIfTrue="1">
      <formula>IF($AK8&lt;5,1,0)</formula>
    </cfRule>
  </conditionalFormatting>
  <conditionalFormatting sqref="AL23 AL108">
    <cfRule type="expression" dxfId="2195" priority="250" stopIfTrue="1">
      <formula>IF($AK8&lt;6,1,0)</formula>
    </cfRule>
  </conditionalFormatting>
  <conditionalFormatting sqref="AM23 AM108">
    <cfRule type="expression" dxfId="2194" priority="249" stopIfTrue="1">
      <formula>IF($AK8&lt;7,1,0)</formula>
    </cfRule>
  </conditionalFormatting>
  <conditionalFormatting sqref="AN23 AN108">
    <cfRule type="expression" dxfId="2193" priority="248" stopIfTrue="1">
      <formula>IF($AK8&lt;8,1,0)</formula>
    </cfRule>
  </conditionalFormatting>
  <conditionalFormatting sqref="AO23 AO108">
    <cfRule type="expression" dxfId="2192" priority="247" stopIfTrue="1">
      <formula>IF($AK8&lt;9,1,0)</formula>
    </cfRule>
  </conditionalFormatting>
  <conditionalFormatting sqref="AP23 AP108">
    <cfRule type="expression" dxfId="2191" priority="246" stopIfTrue="1">
      <formula>IF($AK8&lt;10,1,0)</formula>
    </cfRule>
  </conditionalFormatting>
  <conditionalFormatting sqref="AQ24 AQ109">
    <cfRule type="expression" dxfId="2190" priority="245" stopIfTrue="1">
      <formula>IF($AK9&gt;0,0,1)</formula>
    </cfRule>
  </conditionalFormatting>
  <conditionalFormatting sqref="AQ25 AQ110">
    <cfRule type="expression" dxfId="2189" priority="244" stopIfTrue="1">
      <formula>IF($AK9&gt;1,0,1)</formula>
    </cfRule>
  </conditionalFormatting>
  <conditionalFormatting sqref="AQ26 AQ111">
    <cfRule type="expression" dxfId="2188" priority="243" stopIfTrue="1">
      <formula>IF($AK9&gt;2,0,1)</formula>
    </cfRule>
  </conditionalFormatting>
  <conditionalFormatting sqref="AQ28 AQ113">
    <cfRule type="expression" dxfId="2187" priority="241" stopIfTrue="1">
      <formula>IF($AK9&gt;4,0,1)</formula>
    </cfRule>
  </conditionalFormatting>
  <conditionalFormatting sqref="E27:G27 E112:G112">
    <cfRule type="expression" dxfId="2186" priority="239" stopIfTrue="1">
      <formula>IF($AK8&lt;2,1,IF($AK7&lt;3,1,0))</formula>
    </cfRule>
  </conditionalFormatting>
  <conditionalFormatting sqref="E28:G28 E113:G113">
    <cfRule type="expression" dxfId="2185" priority="238" stopIfTrue="1">
      <formula>IF($AK8&lt;2,1,IF($AK7&lt;4,1,0))</formula>
    </cfRule>
  </conditionalFormatting>
  <conditionalFormatting sqref="E29:G29 E114:G114">
    <cfRule type="expression" dxfId="2184" priority="237" stopIfTrue="1">
      <formula>IF($AK8&lt;2,1,IF($AK7&lt;5,1,0))</formula>
    </cfRule>
  </conditionalFormatting>
  <conditionalFormatting sqref="T25:V25 T110:V110">
    <cfRule type="expression" dxfId="2183" priority="234" stopIfTrue="1">
      <formula>IF($AK8&gt;6,0,1)</formula>
    </cfRule>
  </conditionalFormatting>
  <conditionalFormatting sqref="W25:Y25 W110:Y110">
    <cfRule type="expression" dxfId="2182" priority="233" stopIfTrue="1">
      <formula>IF($AK8&gt;7,0,1)</formula>
    </cfRule>
  </conditionalFormatting>
  <conditionalFormatting sqref="Z25:AB25 Z110:AB110">
    <cfRule type="expression" dxfId="2181" priority="232" stopIfTrue="1">
      <formula>IF($AK8&gt;8,0,1)</formula>
    </cfRule>
  </conditionalFormatting>
  <conditionalFormatting sqref="AC25:AE25 AC110:AE110">
    <cfRule type="expression" dxfId="2180" priority="231" stopIfTrue="1">
      <formula>IF($AK8&gt;9,0,1)</formula>
    </cfRule>
  </conditionalFormatting>
  <conditionalFormatting sqref="T26:V26 T111:V111">
    <cfRule type="expression" dxfId="2179" priority="226" stopIfTrue="1">
      <formula>IF($AK8&lt;7,1,IF($AK7&lt;2,1,0))</formula>
    </cfRule>
  </conditionalFormatting>
  <conditionalFormatting sqref="W26:Y26 W111:Y111">
    <cfRule type="expression" dxfId="2178" priority="225" stopIfTrue="1">
      <formula>IF($AK8&lt;8,1,IF($AK7&lt;2,1,0))</formula>
    </cfRule>
  </conditionalFormatting>
  <conditionalFormatting sqref="Z26:AB26 Z111:AB111">
    <cfRule type="expression" dxfId="2177" priority="224" stopIfTrue="1">
      <formula>IF($AK8&lt;9,1,IF($AK7&lt;2,1,0))</formula>
    </cfRule>
  </conditionalFormatting>
  <conditionalFormatting sqref="AC26:AE26 AC111:AE111">
    <cfRule type="expression" dxfId="2176" priority="223" stopIfTrue="1">
      <formula>IF($AK8&lt;10,1,IF($AK7&lt;2,1,0))</formula>
    </cfRule>
  </conditionalFormatting>
  <conditionalFormatting sqref="H27:J27 H112:J112">
    <cfRule type="expression" dxfId="2175" priority="222" stopIfTrue="1">
      <formula>IF($AK8&lt;3,1,IF($AK7&lt;3,1,0))</formula>
    </cfRule>
  </conditionalFormatting>
  <conditionalFormatting sqref="K27:M27 K112:M112">
    <cfRule type="expression" dxfId="2174" priority="221" stopIfTrue="1">
      <formula>IF($AK8&lt;4,1,IF($AK7&lt;3,1,0))</formula>
    </cfRule>
  </conditionalFormatting>
  <conditionalFormatting sqref="N27:P27 N112:P112">
    <cfRule type="expression" dxfId="2173" priority="220" stopIfTrue="1">
      <formula>IF($AK8&lt;5,1,IF($AK7&lt;3,1,0))</formula>
    </cfRule>
  </conditionalFormatting>
  <conditionalFormatting sqref="Q27:S27 Q112:S112">
    <cfRule type="expression" dxfId="2172" priority="219" stopIfTrue="1">
      <formula>IF($AK8&lt;6,1,IF($AK7&lt;3,1,0))</formula>
    </cfRule>
  </conditionalFormatting>
  <conditionalFormatting sqref="T27:V27 T112:V112">
    <cfRule type="expression" dxfId="2171" priority="218" stopIfTrue="1">
      <formula>IF($AK8&lt;7,1,IF($AK7&lt;3,1,0))</formula>
    </cfRule>
  </conditionalFormatting>
  <conditionalFormatting sqref="W27:Y27 W112:Y112">
    <cfRule type="expression" dxfId="2170" priority="217" stopIfTrue="1">
      <formula>IF($AK8&lt;8,1,IF($AK7&lt;3,1,0))</formula>
    </cfRule>
  </conditionalFormatting>
  <conditionalFormatting sqref="Z27:AB27 Z112:AB112">
    <cfRule type="expression" dxfId="2169" priority="216" stopIfTrue="1">
      <formula>IF($AK8&lt;9,1,IF($AK7&lt;3,1,0))</formula>
    </cfRule>
  </conditionalFormatting>
  <conditionalFormatting sqref="AC27:AE27 AC112:AE112">
    <cfRule type="expression" dxfId="2168" priority="215" stopIfTrue="1">
      <formula>IF($AK8&lt;10,1,IF($AK7&lt;3,1,0))</formula>
    </cfRule>
  </conditionalFormatting>
  <conditionalFormatting sqref="H28:J28 H113:J113">
    <cfRule type="expression" dxfId="2167" priority="214" stopIfTrue="1">
      <formula>IF($AK8&lt;3,1,IF($AK7&lt;4,1,0))</formula>
    </cfRule>
  </conditionalFormatting>
  <conditionalFormatting sqref="K28:M28 K113:M113">
    <cfRule type="expression" dxfId="2166" priority="213" stopIfTrue="1">
      <formula>IF($AK8&lt;4,1,IF($AK7&lt;4,1,0))</formula>
    </cfRule>
  </conditionalFormatting>
  <conditionalFormatting sqref="N28:P28 N113:P113">
    <cfRule type="expression" dxfId="2165" priority="212" stopIfTrue="1">
      <formula>IF($AK8&lt;5,1,IF($AK7&lt;4,1,0))</formula>
    </cfRule>
  </conditionalFormatting>
  <conditionalFormatting sqref="Q28:S28 Q113:S113">
    <cfRule type="expression" dxfId="2164" priority="211" stopIfTrue="1">
      <formula>IF($AK8&lt;6,1,IF($AK7&lt;4,1,0))</formula>
    </cfRule>
  </conditionalFormatting>
  <conditionalFormatting sqref="T28:V28 T113:V113">
    <cfRule type="expression" dxfId="2163" priority="210" stopIfTrue="1">
      <formula>IF($AK8&lt;7,1,IF($AK7&lt;4,1,0))</formula>
    </cfRule>
  </conditionalFormatting>
  <conditionalFormatting sqref="W28:Y28 W113:Y113">
    <cfRule type="expression" dxfId="2162" priority="209" stopIfTrue="1">
      <formula>IF($AK8&lt;8,1,IF($AK7&lt;4,1,0))</formula>
    </cfRule>
  </conditionalFormatting>
  <conditionalFormatting sqref="Z28:AB28 Z113:AB113">
    <cfRule type="expression" dxfId="2161" priority="208" stopIfTrue="1">
      <formula>IF($AK8&lt;9,1,IF($AK7&lt;4,1,0))</formula>
    </cfRule>
  </conditionalFormatting>
  <conditionalFormatting sqref="AC28:AE28 AC113:AE113">
    <cfRule type="expression" dxfId="2160" priority="207" stopIfTrue="1">
      <formula>IF($AK8&lt;10,1,IF($AK7&lt;4,1,0))</formula>
    </cfRule>
  </conditionalFormatting>
  <conditionalFormatting sqref="H29:J29 H114:J114">
    <cfRule type="expression" dxfId="2159" priority="206" stopIfTrue="1">
      <formula>IF($AK8&lt;3,1,IF($AK7&lt;5,1,0))</formula>
    </cfRule>
  </conditionalFormatting>
  <conditionalFormatting sqref="K29:M29 K114:M114">
    <cfRule type="expression" dxfId="2158" priority="205" stopIfTrue="1">
      <formula>IF($AK8&lt;4,1,IF($AK7&lt;5,1,0))</formula>
    </cfRule>
  </conditionalFormatting>
  <conditionalFormatting sqref="N29:P29 N114:P114">
    <cfRule type="expression" dxfId="2157" priority="204" stopIfTrue="1">
      <formula>IF($AK8&lt;5,1,IF($AK7&lt;5,1,0))</formula>
    </cfRule>
  </conditionalFormatting>
  <conditionalFormatting sqref="Q29:S29 Q114:S114">
    <cfRule type="expression" dxfId="2156" priority="203" stopIfTrue="1">
      <formula>IF($AK8&lt;6,1,IF($AK7&lt;5,1,0))</formula>
    </cfRule>
  </conditionalFormatting>
  <conditionalFormatting sqref="T29:V29 T114:V114">
    <cfRule type="expression" dxfId="2155" priority="202" stopIfTrue="1">
      <formula>IF($AK8&lt;7,1,IF($AK7&lt;5,1,0))</formula>
    </cfRule>
  </conditionalFormatting>
  <conditionalFormatting sqref="W29:Y29 W114:Y114">
    <cfRule type="expression" dxfId="2154" priority="201" stopIfTrue="1">
      <formula>IF($AK8&lt;8,1,IF($AK7&lt;5,1,0))</formula>
    </cfRule>
  </conditionalFormatting>
  <conditionalFormatting sqref="Z29:AB29 Z114:AB114">
    <cfRule type="expression" dxfId="2153" priority="200" stopIfTrue="1">
      <formula>IF($AK8&lt;9,1,IF($AK7&lt;5,1,0))</formula>
    </cfRule>
  </conditionalFormatting>
  <conditionalFormatting sqref="AC29:AE29 AC114:AE114">
    <cfRule type="expression" dxfId="2152" priority="199" stopIfTrue="1">
      <formula>IF($AK8&lt;10,1,IF($AK7&lt;5,1,0))</formula>
    </cfRule>
  </conditionalFormatting>
  <conditionalFormatting sqref="R14:AB15 AF14:AF15 L14:P15 R99:AB100 AF99:AF100 L99:P100 AG14 AG99">
    <cfRule type="expression" dxfId="2151" priority="198" stopIfTrue="1">
      <formula>IF($AK9&gt;3,0,1)</formula>
    </cfRule>
  </conditionalFormatting>
  <conditionalFormatting sqref="R16:AB17 AF16:AF17 L16:P17 R101:AB102 AF101:AF102 L101:P102 AG16 AG101">
    <cfRule type="expression" dxfId="2150" priority="197" stopIfTrue="1">
      <formula>IF($AK9&gt;4,0,1)</formula>
    </cfRule>
  </conditionalFormatting>
  <conditionalFormatting sqref="R8:AB9 AF8:AF9 L8:P9 R93:AB94 AF93:AF94 L93:P94 AG8 AG93">
    <cfRule type="expression" dxfId="2149" priority="196" stopIfTrue="1">
      <formula>IF($AK9&gt;0,0,1)</formula>
    </cfRule>
  </conditionalFormatting>
  <conditionalFormatting sqref="R10:AB11 AF10:AF11 L10:P11 R95:AB96 AF95:AF96 L95:P96 AG10 AG95">
    <cfRule type="expression" dxfId="2148" priority="195" stopIfTrue="1">
      <formula>IF($AK9&gt;1,0,1)</formula>
    </cfRule>
  </conditionalFormatting>
  <conditionalFormatting sqref="R12:AB13 AF12:AF13 L12:P13 R97:AB98 AF97:AF98 L97:P98 AG12 AG97">
    <cfRule type="expression" dxfId="2147" priority="194" stopIfTrue="1">
      <formula>IF($AK9&gt;2,0,1)</formula>
    </cfRule>
  </conditionalFormatting>
  <conditionalFormatting sqref="T109 T24">
    <cfRule type="expression" dxfId="2146" priority="188" stopIfTrue="1">
      <formula>IF(AK8&gt;6,0,1)</formula>
    </cfRule>
  </conditionalFormatting>
  <conditionalFormatting sqref="W109 W24">
    <cfRule type="expression" dxfId="2145" priority="187" stopIfTrue="1">
      <formula>IF(AK8&gt;7,0,1)</formula>
    </cfRule>
  </conditionalFormatting>
  <conditionalFormatting sqref="Z109 Z24">
    <cfRule type="expression" dxfId="2144" priority="186" stopIfTrue="1">
      <formula>IF(AK8&gt;8,0,1)</formula>
    </cfRule>
  </conditionalFormatting>
  <conditionalFormatting sqref="AC109 AC24">
    <cfRule type="expression" dxfId="2143" priority="185" stopIfTrue="1">
      <formula>IF(AK8&gt;9,0,1)</formula>
    </cfRule>
  </conditionalFormatting>
  <conditionalFormatting sqref="AQ112 AQ27">
    <cfRule type="expression" dxfId="2142" priority="184" stopIfTrue="1">
      <formula>IF($AK9&gt;3,0,1)</formula>
    </cfRule>
  </conditionalFormatting>
  <conditionalFormatting sqref="B21:D21 B106:D106">
    <cfRule type="expression" dxfId="2141" priority="182" stopIfTrue="1">
      <formula>IF(AK8&gt;0,0,1)</formula>
    </cfRule>
  </conditionalFormatting>
  <conditionalFormatting sqref="E21:G21 E106:G106">
    <cfRule type="expression" dxfId="2140" priority="181" stopIfTrue="1">
      <formula>IF(AK8&gt;1,0,1)</formula>
    </cfRule>
  </conditionalFormatting>
  <conditionalFormatting sqref="H21:J21 H106:J106">
    <cfRule type="expression" dxfId="2139" priority="180" stopIfTrue="1">
      <formula>IF(AK8&gt;2,0,1)</formula>
    </cfRule>
  </conditionalFormatting>
  <conditionalFormatting sqref="K106:M106 K21:M21">
    <cfRule type="expression" dxfId="2138" priority="179" stopIfTrue="1">
      <formula>IF(AK8&gt;3,0,1)</formula>
    </cfRule>
  </conditionalFormatting>
  <conditionalFormatting sqref="N106:P106 N21:P21">
    <cfRule type="expression" dxfId="2137" priority="178" stopIfTrue="1">
      <formula>IF(AK8&gt;4,0,1)</formula>
    </cfRule>
  </conditionalFormatting>
  <conditionalFormatting sqref="Q106:S106 Q21:S21">
    <cfRule type="expression" dxfId="2136" priority="177" stopIfTrue="1">
      <formula>IF(AK8&gt;5,0,1)</formula>
    </cfRule>
  </conditionalFormatting>
  <conditionalFormatting sqref="T106:V106 T21:V21">
    <cfRule type="expression" dxfId="2135" priority="176" stopIfTrue="1">
      <formula>IF(AK8&gt;6,0,1)</formula>
    </cfRule>
  </conditionalFormatting>
  <conditionalFormatting sqref="W106:Y106 W21:Y21">
    <cfRule type="expression" dxfId="2134" priority="175" stopIfTrue="1">
      <formula>IF(AK8&gt;7,0,1)</formula>
    </cfRule>
  </conditionalFormatting>
  <conditionalFormatting sqref="Z106:AB106 Z21:AB21">
    <cfRule type="expression" dxfId="2133" priority="174" stopIfTrue="1">
      <formula>IF(AK8&gt;8,0,1)</formula>
    </cfRule>
  </conditionalFormatting>
  <conditionalFormatting sqref="AC106:AE106 AC21:AE21">
    <cfRule type="expression" dxfId="2132" priority="173" stopIfTrue="1">
      <formula>IF(AK8&gt;9,0,1)</formula>
    </cfRule>
  </conditionalFormatting>
  <conditionalFormatting sqref="AG24:AP28 AG109:AP113">
    <cfRule type="cellIs" dxfId="2131" priority="172" stopIfTrue="1" operator="notBetween">
      <formula>-9999</formula>
      <formula>9999</formula>
    </cfRule>
  </conditionalFormatting>
  <conditionalFormatting sqref="AC92 AC7">
    <cfRule type="expression" dxfId="2130" priority="171" stopIfTrue="1">
      <formula>IF($AK$11=0,1,0)</formula>
    </cfRule>
  </conditionalFormatting>
  <conditionalFormatting sqref="B18">
    <cfRule type="expression" dxfId="2129" priority="170" stopIfTrue="1">
      <formula>IF($AK$9&gt;0,0,1)</formula>
    </cfRule>
  </conditionalFormatting>
  <conditionalFormatting sqref="B20:D20">
    <cfRule type="expression" dxfId="2128" priority="168" stopIfTrue="1">
      <formula>IF(AK8&gt;0,0,1)</formula>
    </cfRule>
  </conditionalFormatting>
  <conditionalFormatting sqref="E20:G20">
    <cfRule type="expression" dxfId="2127" priority="167" stopIfTrue="1">
      <formula>IF(AK8&gt;1,0,1)</formula>
    </cfRule>
  </conditionalFormatting>
  <conditionalFormatting sqref="H20:J20">
    <cfRule type="expression" dxfId="2126" priority="166" stopIfTrue="1">
      <formula>IF(AK8&gt;2,0,1)</formula>
    </cfRule>
  </conditionalFormatting>
  <conditionalFormatting sqref="B21:D21">
    <cfRule type="expression" dxfId="2125" priority="165" stopIfTrue="1">
      <formula>IF(AK8&gt;0,0,1)</formula>
    </cfRule>
  </conditionalFormatting>
  <conditionalFormatting sqref="E21:G21">
    <cfRule type="expression" dxfId="2124" priority="164" stopIfTrue="1">
      <formula>IF(AK8&gt;1,0,1)</formula>
    </cfRule>
  </conditionalFormatting>
  <conditionalFormatting sqref="H21:J21">
    <cfRule type="expression" dxfId="2123" priority="163" stopIfTrue="1">
      <formula>IF(AK8&gt;2,0,1)</formula>
    </cfRule>
  </conditionalFormatting>
  <conditionalFormatting sqref="B105:D105">
    <cfRule type="expression" dxfId="2122" priority="162" stopIfTrue="1">
      <formula>IF(AK93&gt;0,0,1)</formula>
    </cfRule>
  </conditionalFormatting>
  <conditionalFormatting sqref="E105:G105">
    <cfRule type="expression" dxfId="2121" priority="161" stopIfTrue="1">
      <formula>IF(AK93&gt;1,0,1)</formula>
    </cfRule>
  </conditionalFormatting>
  <conditionalFormatting sqref="H105:J105">
    <cfRule type="expression" dxfId="2120" priority="160" stopIfTrue="1">
      <formula>IF(AK93&gt;2,0,1)</formula>
    </cfRule>
  </conditionalFormatting>
  <conditionalFormatting sqref="B106:D106">
    <cfRule type="expression" dxfId="2119" priority="159" stopIfTrue="1">
      <formula>IF(AK93&gt;0,0,1)</formula>
    </cfRule>
  </conditionalFormatting>
  <conditionalFormatting sqref="E106:G106">
    <cfRule type="expression" dxfId="2118" priority="158" stopIfTrue="1">
      <formula>IF(AK93&gt;1,0,1)</formula>
    </cfRule>
  </conditionalFormatting>
  <conditionalFormatting sqref="H106:J106">
    <cfRule type="expression" dxfId="2117" priority="157" stopIfTrue="1">
      <formula>IF(AK93&gt;2,0,1)</formula>
    </cfRule>
  </conditionalFormatting>
  <conditionalFormatting sqref="B103">
    <cfRule type="expression" dxfId="2116" priority="134" stopIfTrue="1">
      <formula>IF($AK$9&gt;0,0,1)</formula>
    </cfRule>
  </conditionalFormatting>
  <conditionalFormatting sqref="B104:D104">
    <cfRule type="expression" dxfId="2115" priority="126" stopIfTrue="1">
      <formula>IF(AK93&gt;0,0,1)</formula>
    </cfRule>
  </conditionalFormatting>
  <conditionalFormatting sqref="E104:G104">
    <cfRule type="expression" dxfId="2114" priority="125" stopIfTrue="1">
      <formula>IF(AK93&gt;1,0,1)</formula>
    </cfRule>
  </conditionalFormatting>
  <conditionalFormatting sqref="H104:J104">
    <cfRule type="expression" dxfId="2113" priority="124" stopIfTrue="1">
      <formula>IF(AK93&gt;2,0,1)</formula>
    </cfRule>
  </conditionalFormatting>
  <conditionalFormatting sqref="B104:D104">
    <cfRule type="expression" dxfId="2112" priority="123" stopIfTrue="1">
      <formula>IF(AK93&gt;0,0,1)</formula>
    </cfRule>
  </conditionalFormatting>
  <conditionalFormatting sqref="E104:G104">
    <cfRule type="expression" dxfId="2111" priority="122" stopIfTrue="1">
      <formula>IF(AK93&gt;1,0,1)</formula>
    </cfRule>
  </conditionalFormatting>
  <conditionalFormatting sqref="H104:J104">
    <cfRule type="expression" dxfId="2110" priority="121" stopIfTrue="1">
      <formula>IF(AK93&gt;2,0,1)</formula>
    </cfRule>
  </conditionalFormatting>
  <conditionalFormatting sqref="B19:D19">
    <cfRule type="expression" dxfId="2109" priority="132" stopIfTrue="1">
      <formula>IF(AK8&gt;0,0,1)</formula>
    </cfRule>
  </conditionalFormatting>
  <conditionalFormatting sqref="E19:G19">
    <cfRule type="expression" dxfId="2108" priority="131" stopIfTrue="1">
      <formula>IF(AK8&gt;1,0,1)</formula>
    </cfRule>
  </conditionalFormatting>
  <conditionalFormatting sqref="H19:J19">
    <cfRule type="expression" dxfId="2107" priority="130" stopIfTrue="1">
      <formula>IF(AK8&gt;2,0,1)</formula>
    </cfRule>
  </conditionalFormatting>
  <conditionalFormatting sqref="B19:D19">
    <cfRule type="expression" dxfId="2106" priority="129" stopIfTrue="1">
      <formula>IF(AK8&gt;0,0,1)</formula>
    </cfRule>
  </conditionalFormatting>
  <conditionalFormatting sqref="E19:G19">
    <cfRule type="expression" dxfId="2105" priority="128" stopIfTrue="1">
      <formula>IF(AK8&gt;1,0,1)</formula>
    </cfRule>
  </conditionalFormatting>
  <conditionalFormatting sqref="H19:J19">
    <cfRule type="expression" dxfId="2104" priority="127" stopIfTrue="1">
      <formula>IF(AK8&gt;2,0,1)</formula>
    </cfRule>
  </conditionalFormatting>
  <conditionalFormatting sqref="E8">
    <cfRule type="expression" dxfId="2103" priority="114" stopIfTrue="1">
      <formula>IF(AK9&gt;0,0,1)</formula>
    </cfRule>
  </conditionalFormatting>
  <conditionalFormatting sqref="E9">
    <cfRule type="expression" dxfId="2102" priority="113" stopIfTrue="1">
      <formula>IF(AK9&gt;0,0,1)</formula>
    </cfRule>
  </conditionalFormatting>
  <conditionalFormatting sqref="E10">
    <cfRule type="expression" dxfId="2101" priority="112" stopIfTrue="1">
      <formula>IF(AK9&gt;1,0,1)</formula>
    </cfRule>
  </conditionalFormatting>
  <conditionalFormatting sqref="E11">
    <cfRule type="expression" dxfId="2100" priority="111" stopIfTrue="1">
      <formula>IF(AK9&gt;1,0,1)</formula>
    </cfRule>
  </conditionalFormatting>
  <conditionalFormatting sqref="E12">
    <cfRule type="expression" dxfId="2099" priority="110" stopIfTrue="1">
      <formula>IF(AK9&gt;2,0,1)</formula>
    </cfRule>
  </conditionalFormatting>
  <conditionalFormatting sqref="E13">
    <cfRule type="expression" dxfId="2098" priority="109" stopIfTrue="1">
      <formula>IF(AK9&gt;2,0,1)</formula>
    </cfRule>
  </conditionalFormatting>
  <conditionalFormatting sqref="E14">
    <cfRule type="expression" dxfId="2097" priority="108" stopIfTrue="1">
      <formula>IF(AK9&gt;3,0,1)</formula>
    </cfRule>
  </conditionalFormatting>
  <conditionalFormatting sqref="E15">
    <cfRule type="expression" dxfId="2096" priority="107" stopIfTrue="1">
      <formula>IF(AK9&gt;3,0,1)</formula>
    </cfRule>
  </conditionalFormatting>
  <conditionalFormatting sqref="E93">
    <cfRule type="expression" dxfId="2095" priority="106" stopIfTrue="1">
      <formula>IF(AK94&gt;0,0,1)</formula>
    </cfRule>
  </conditionalFormatting>
  <conditionalFormatting sqref="E94">
    <cfRule type="expression" dxfId="2094" priority="105" stopIfTrue="1">
      <formula>IF(AK94&gt;0,0,1)</formula>
    </cfRule>
  </conditionalFormatting>
  <conditionalFormatting sqref="E95">
    <cfRule type="expression" dxfId="2093" priority="104" stopIfTrue="1">
      <formula>IF(AK94&gt;1,0,1)</formula>
    </cfRule>
  </conditionalFormatting>
  <conditionalFormatting sqref="E96">
    <cfRule type="expression" dxfId="2092" priority="103" stopIfTrue="1">
      <formula>IF(AK94&gt;1,0,1)</formula>
    </cfRule>
  </conditionalFormatting>
  <conditionalFormatting sqref="E97">
    <cfRule type="expression" dxfId="2091" priority="102" stopIfTrue="1">
      <formula>IF(AK94&gt;2,0,1)</formula>
    </cfRule>
  </conditionalFormatting>
  <conditionalFormatting sqref="E98">
    <cfRule type="expression" dxfId="2090" priority="101" stopIfTrue="1">
      <formula>IF(AK94&gt;2,0,1)</formula>
    </cfRule>
  </conditionalFormatting>
  <conditionalFormatting sqref="E22:G22">
    <cfRule type="expression" dxfId="2089" priority="100" stopIfTrue="1">
      <formula>IF(AK8&gt;1,0,1)</formula>
    </cfRule>
  </conditionalFormatting>
  <conditionalFormatting sqref="H22:J22">
    <cfRule type="expression" dxfId="2088" priority="99" stopIfTrue="1">
      <formula>IF(AK8&gt;2,0,1)</formula>
    </cfRule>
  </conditionalFormatting>
  <conditionalFormatting sqref="K22:M22">
    <cfRule type="expression" dxfId="2087" priority="98" stopIfTrue="1">
      <formula>IF(AK8&gt;3,0,1)</formula>
    </cfRule>
  </conditionalFormatting>
  <conditionalFormatting sqref="N22:P22">
    <cfRule type="expression" dxfId="2086" priority="97" stopIfTrue="1">
      <formula>IF(AK8&gt;4,0,1)</formula>
    </cfRule>
  </conditionalFormatting>
  <conditionalFormatting sqref="Q22:S22">
    <cfRule type="expression" dxfId="2085" priority="96" stopIfTrue="1">
      <formula>IF(AK8&gt;5,0,1)</formula>
    </cfRule>
  </conditionalFormatting>
  <conditionalFormatting sqref="B24">
    <cfRule type="expression" dxfId="2084" priority="95" stopIfTrue="1">
      <formula>IF(AK8&gt;0,0,1)</formula>
    </cfRule>
  </conditionalFormatting>
  <conditionalFormatting sqref="C24">
    <cfRule type="expression" dxfId="2083" priority="94" stopIfTrue="1">
      <formula>IF(AK8&gt;0,0,1)</formula>
    </cfRule>
  </conditionalFormatting>
  <conditionalFormatting sqref="D24">
    <cfRule type="expression" dxfId="2082" priority="93" stopIfTrue="1">
      <formula>IF(AK8&gt;0,0,1)</formula>
    </cfRule>
  </conditionalFormatting>
  <conditionalFormatting sqref="E23:G23">
    <cfRule type="expression" dxfId="2081" priority="92" stopIfTrue="1">
      <formula>IF(AK8&gt;1,0,1)</formula>
    </cfRule>
  </conditionalFormatting>
  <conditionalFormatting sqref="F24">
    <cfRule type="expression" dxfId="2080" priority="91" stopIfTrue="1">
      <formula>IF(AK8&gt;1,0,1)</formula>
    </cfRule>
  </conditionalFormatting>
  <conditionalFormatting sqref="G24">
    <cfRule type="expression" dxfId="2079" priority="90" stopIfTrue="1">
      <formula>IF(AK8&gt;1,0,1)</formula>
    </cfRule>
  </conditionalFormatting>
  <conditionalFormatting sqref="H23:J23">
    <cfRule type="expression" dxfId="2078" priority="89" stopIfTrue="1">
      <formula>IF(AK8&gt;2,0,1)</formula>
    </cfRule>
  </conditionalFormatting>
  <conditionalFormatting sqref="I24">
    <cfRule type="expression" dxfId="2077" priority="88" stopIfTrue="1">
      <formula>IF(AK8&gt;2,0,1)</formula>
    </cfRule>
  </conditionalFormatting>
  <conditionalFormatting sqref="J24">
    <cfRule type="expression" dxfId="2076" priority="87" stopIfTrue="1">
      <formula>IF(AK8&gt;2,0,1)</formula>
    </cfRule>
  </conditionalFormatting>
  <conditionalFormatting sqref="K23:M23">
    <cfRule type="expression" dxfId="2075" priority="86" stopIfTrue="1">
      <formula>IF(AK8&gt;3,0,1)</formula>
    </cfRule>
  </conditionalFormatting>
  <conditionalFormatting sqref="L24">
    <cfRule type="expression" dxfId="2074" priority="85" stopIfTrue="1">
      <formula>IF(AK8&gt;3,0,1)</formula>
    </cfRule>
  </conditionalFormatting>
  <conditionalFormatting sqref="M24">
    <cfRule type="expression" dxfId="2073" priority="84" stopIfTrue="1">
      <formula>IF(AK8&gt;3,0,1)</formula>
    </cfRule>
  </conditionalFormatting>
  <conditionalFormatting sqref="N23:P23">
    <cfRule type="expression" dxfId="2072" priority="83" stopIfTrue="1">
      <formula>IF(AK8&gt;4,0,1)</formula>
    </cfRule>
  </conditionalFormatting>
  <conditionalFormatting sqref="O24">
    <cfRule type="expression" dxfId="2071" priority="82" stopIfTrue="1">
      <formula>IF(AK8&gt;4,0,1)</formula>
    </cfRule>
  </conditionalFormatting>
  <conditionalFormatting sqref="P24">
    <cfRule type="expression" dxfId="2070" priority="81" stopIfTrue="1">
      <formula>IF(AK8&gt;4,0,1)</formula>
    </cfRule>
  </conditionalFormatting>
  <conditionalFormatting sqref="Q23:S23">
    <cfRule type="expression" dxfId="2069" priority="80" stopIfTrue="1">
      <formula>IF(AK8&gt;5,0,1)</formula>
    </cfRule>
  </conditionalFormatting>
  <conditionalFormatting sqref="R24">
    <cfRule type="expression" dxfId="2068" priority="79" stopIfTrue="1">
      <formula>IF(AK8&gt;5,0,1)</formula>
    </cfRule>
  </conditionalFormatting>
  <conditionalFormatting sqref="S24">
    <cfRule type="expression" dxfId="2067" priority="78" stopIfTrue="1">
      <formula>IF(AK8&gt;5,0,1)</formula>
    </cfRule>
  </conditionalFormatting>
  <conditionalFormatting sqref="B26:D26">
    <cfRule type="expression" dxfId="2066" priority="76" stopIfTrue="1">
      <formula>IF($AK8&lt;1,1,IF($AK7&lt;2,1,0))</formula>
    </cfRule>
  </conditionalFormatting>
  <conditionalFormatting sqref="E26:G26">
    <cfRule type="expression" dxfId="2065" priority="73" stopIfTrue="1">
      <formula>IF($AK8&lt;2,1,IF($AK7&lt;2,1,0))</formula>
    </cfRule>
  </conditionalFormatting>
  <conditionalFormatting sqref="H26:J26">
    <cfRule type="expression" dxfId="2064" priority="70" stopIfTrue="1">
      <formula>IF($AK8&lt;3,1,IF($AK7&lt;2,1,0))</formula>
    </cfRule>
  </conditionalFormatting>
  <conditionalFormatting sqref="K26:M26">
    <cfRule type="expression" dxfId="2063" priority="69" stopIfTrue="1">
      <formula>IF($AK8&lt;4,1,IF($AK7&lt;2,1,0))</formula>
    </cfRule>
  </conditionalFormatting>
  <conditionalFormatting sqref="N26:P26">
    <cfRule type="expression" dxfId="2062" priority="68" stopIfTrue="1">
      <formula>IF($AK8&lt;5,1,IF($AK7&lt;2,1,0))</formula>
    </cfRule>
  </conditionalFormatting>
  <conditionalFormatting sqref="Q26:S26">
    <cfRule type="expression" dxfId="2061" priority="67" stopIfTrue="1">
      <formula>IF($AK8&lt;6,1,IF($AK7&lt;2,1,0))</formula>
    </cfRule>
  </conditionalFormatting>
  <conditionalFormatting sqref="E24">
    <cfRule type="expression" dxfId="2060" priority="66" stopIfTrue="1">
      <formula>IF(AK8&gt;1,0,1)</formula>
    </cfRule>
  </conditionalFormatting>
  <conditionalFormatting sqref="H24">
    <cfRule type="expression" dxfId="2059" priority="65" stopIfTrue="1">
      <formula>IF(AK8&gt;2,0,1)</formula>
    </cfRule>
  </conditionalFormatting>
  <conditionalFormatting sqref="K24">
    <cfRule type="expression" dxfId="2058" priority="64" stopIfTrue="1">
      <formula>IF(AK8&gt;3,0,1)</formula>
    </cfRule>
  </conditionalFormatting>
  <conditionalFormatting sqref="N24">
    <cfRule type="expression" dxfId="2057" priority="63" stopIfTrue="1">
      <formula>IF(AK8&gt;4,0,1)</formula>
    </cfRule>
  </conditionalFormatting>
  <conditionalFormatting sqref="Q24">
    <cfRule type="expression" dxfId="2056" priority="62" stopIfTrue="1">
      <formula>IF(AK8&gt;5,0,1)</formula>
    </cfRule>
  </conditionalFormatting>
  <conditionalFormatting sqref="B22:D23">
    <cfRule type="cellIs" dxfId="2055" priority="60" stopIfTrue="1" operator="equal">
      <formula>99</formula>
    </cfRule>
  </conditionalFormatting>
  <conditionalFormatting sqref="E107:G107">
    <cfRule type="expression" dxfId="2054" priority="59" stopIfTrue="1">
      <formula>IF(AK93&gt;1,0,1)</formula>
    </cfRule>
  </conditionalFormatting>
  <conditionalFormatting sqref="H107:J107">
    <cfRule type="expression" dxfId="2053" priority="58" stopIfTrue="1">
      <formula>IF(AK93&gt;2,0,1)</formula>
    </cfRule>
  </conditionalFormatting>
  <conditionalFormatting sqref="K107:M107">
    <cfRule type="expression" dxfId="2052" priority="57" stopIfTrue="1">
      <formula>IF(AK93&gt;3,0,1)</formula>
    </cfRule>
  </conditionalFormatting>
  <conditionalFormatting sqref="N107:P107">
    <cfRule type="expression" dxfId="2051" priority="56" stopIfTrue="1">
      <formula>IF(AK93&gt;4,0,1)</formula>
    </cfRule>
  </conditionalFormatting>
  <conditionalFormatting sqref="Q107:S107">
    <cfRule type="expression" dxfId="2050" priority="55" stopIfTrue="1">
      <formula>IF(AK93&gt;5,0,1)</formula>
    </cfRule>
  </conditionalFormatting>
  <conditionalFormatting sqref="B109">
    <cfRule type="expression" dxfId="2049" priority="54" stopIfTrue="1">
      <formula>IF(AK93&gt;0,0,1)</formula>
    </cfRule>
  </conditionalFormatting>
  <conditionalFormatting sqref="C109">
    <cfRule type="expression" dxfId="2048" priority="53" stopIfTrue="1">
      <formula>IF(AK93&gt;0,0,1)</formula>
    </cfRule>
  </conditionalFormatting>
  <conditionalFormatting sqref="D109">
    <cfRule type="expression" dxfId="2047" priority="52" stopIfTrue="1">
      <formula>IF(AK93&gt;0,0,1)</formula>
    </cfRule>
  </conditionalFormatting>
  <conditionalFormatting sqref="E108:G108">
    <cfRule type="expression" dxfId="2046" priority="51" stopIfTrue="1">
      <formula>IF(AK93&gt;1,0,1)</formula>
    </cfRule>
  </conditionalFormatting>
  <conditionalFormatting sqref="F109">
    <cfRule type="expression" dxfId="2045" priority="50" stopIfTrue="1">
      <formula>IF(AK93&gt;1,0,1)</formula>
    </cfRule>
  </conditionalFormatting>
  <conditionalFormatting sqref="G109">
    <cfRule type="expression" dxfId="2044" priority="49" stopIfTrue="1">
      <formula>IF(AK93&gt;1,0,1)</formula>
    </cfRule>
  </conditionalFormatting>
  <conditionalFormatting sqref="H108:J108">
    <cfRule type="expression" dxfId="2043" priority="48" stopIfTrue="1">
      <formula>IF(AK93&gt;2,0,1)</formula>
    </cfRule>
  </conditionalFormatting>
  <conditionalFormatting sqref="I109">
    <cfRule type="expression" dxfId="2042" priority="47" stopIfTrue="1">
      <formula>IF(AK93&gt;2,0,1)</formula>
    </cfRule>
  </conditionalFormatting>
  <conditionalFormatting sqref="J109">
    <cfRule type="expression" dxfId="2041" priority="46" stopIfTrue="1">
      <formula>IF(AK93&gt;2,0,1)</formula>
    </cfRule>
  </conditionalFormatting>
  <conditionalFormatting sqref="K108:M108">
    <cfRule type="expression" dxfId="2040" priority="45" stopIfTrue="1">
      <formula>IF(AK93&gt;3,0,1)</formula>
    </cfRule>
  </conditionalFormatting>
  <conditionalFormatting sqref="L109">
    <cfRule type="expression" dxfId="2039" priority="44" stopIfTrue="1">
      <formula>IF(AK93&gt;3,0,1)</formula>
    </cfRule>
  </conditionalFormatting>
  <conditionalFormatting sqref="M109">
    <cfRule type="expression" dxfId="2038" priority="43" stopIfTrue="1">
      <formula>IF(AK93&gt;3,0,1)</formula>
    </cfRule>
  </conditionalFormatting>
  <conditionalFormatting sqref="N108:P108">
    <cfRule type="expression" dxfId="2037" priority="42" stopIfTrue="1">
      <formula>IF(AK93&gt;4,0,1)</formula>
    </cfRule>
  </conditionalFormatting>
  <conditionalFormatting sqref="O109">
    <cfRule type="expression" dxfId="2036" priority="41" stopIfTrue="1">
      <formula>IF(AK93&gt;4,0,1)</formula>
    </cfRule>
  </conditionalFormatting>
  <conditionalFormatting sqref="P109">
    <cfRule type="expression" dxfId="2035" priority="40" stopIfTrue="1">
      <formula>IF(AK93&gt;4,0,1)</formula>
    </cfRule>
  </conditionalFormatting>
  <conditionalFormatting sqref="Q108:S108">
    <cfRule type="expression" dxfId="2034" priority="39" stopIfTrue="1">
      <formula>IF(AK93&gt;5,0,1)</formula>
    </cfRule>
  </conditionalFormatting>
  <conditionalFormatting sqref="R109">
    <cfRule type="expression" dxfId="2033" priority="38" stopIfTrue="1">
      <formula>IF(AK93&gt;5,0,1)</formula>
    </cfRule>
  </conditionalFormatting>
  <conditionalFormatting sqref="S109">
    <cfRule type="expression" dxfId="2032" priority="37" stopIfTrue="1">
      <formula>IF(AK93&gt;5,0,1)</formula>
    </cfRule>
  </conditionalFormatting>
  <conditionalFormatting sqref="E109">
    <cfRule type="expression" dxfId="2031" priority="25" stopIfTrue="1">
      <formula>IF(AK93&gt;1,0,1)</formula>
    </cfRule>
  </conditionalFormatting>
  <conditionalFormatting sqref="H109">
    <cfRule type="expression" dxfId="2030" priority="24" stopIfTrue="1">
      <formula>IF(AK93&gt;2,0,1)</formula>
    </cfRule>
  </conditionalFormatting>
  <conditionalFormatting sqref="K109">
    <cfRule type="expression" dxfId="2029" priority="23" stopIfTrue="1">
      <formula>IF(AK93&gt;3,0,1)</formula>
    </cfRule>
  </conditionalFormatting>
  <conditionalFormatting sqref="N109">
    <cfRule type="expression" dxfId="2028" priority="22" stopIfTrue="1">
      <formula>IF(AK93&gt;4,0,1)</formula>
    </cfRule>
  </conditionalFormatting>
  <conditionalFormatting sqref="Q109">
    <cfRule type="expression" dxfId="2027" priority="21" stopIfTrue="1">
      <formula>IF(AK93&gt;5,0,1)</formula>
    </cfRule>
  </conditionalFormatting>
  <conditionalFormatting sqref="B107:D108">
    <cfRule type="cellIs" dxfId="2026" priority="19" stopIfTrue="1" operator="equal">
      <formula>99</formula>
    </cfRule>
  </conditionalFormatting>
  <conditionalFormatting sqref="B25:D25">
    <cfRule type="expression" dxfId="2025" priority="18" stopIfTrue="1">
      <formula>IF($AK8&gt;0,0,1)</formula>
    </cfRule>
  </conditionalFormatting>
  <conditionalFormatting sqref="H25:J25">
    <cfRule type="expression" dxfId="2024" priority="17" stopIfTrue="1">
      <formula>IF($AK8&gt;2,0,1)</formula>
    </cfRule>
  </conditionalFormatting>
  <conditionalFormatting sqref="K25:M25">
    <cfRule type="expression" dxfId="2023" priority="16" stopIfTrue="1">
      <formula>IF($AK8&gt;3,0,1)</formula>
    </cfRule>
  </conditionalFormatting>
  <conditionalFormatting sqref="N25:P25">
    <cfRule type="expression" dxfId="2022" priority="15" stopIfTrue="1">
      <formula>IF($AK8&gt;4,0,1)</formula>
    </cfRule>
  </conditionalFormatting>
  <conditionalFormatting sqref="Q25:S25">
    <cfRule type="expression" dxfId="2021" priority="14" stopIfTrue="1">
      <formula>IF($AK8&gt;5,0,1)</formula>
    </cfRule>
  </conditionalFormatting>
  <conditionalFormatting sqref="E25:G25">
    <cfRule type="expression" dxfId="2020" priority="13" stopIfTrue="1">
      <formula>IF($AK8&gt;1,0,1)</formula>
    </cfRule>
  </conditionalFormatting>
  <conditionalFormatting sqref="B111:D111">
    <cfRule type="expression" dxfId="2019" priority="12" stopIfTrue="1">
      <formula>IF($AK93&lt;1,1,IF($AK92&lt;2,1,0))</formula>
    </cfRule>
  </conditionalFormatting>
  <conditionalFormatting sqref="E111:G111">
    <cfRule type="expression" dxfId="2018" priority="11" stopIfTrue="1">
      <formula>IF($AK93&lt;2,1,IF($AK92&lt;2,1,0))</formula>
    </cfRule>
  </conditionalFormatting>
  <conditionalFormatting sqref="H111:J111">
    <cfRule type="expression" dxfId="2017" priority="10" stopIfTrue="1">
      <formula>IF($AK93&lt;3,1,IF($AK92&lt;2,1,0))</formula>
    </cfRule>
  </conditionalFormatting>
  <conditionalFormatting sqref="K111:M111">
    <cfRule type="expression" dxfId="2016" priority="9" stopIfTrue="1">
      <formula>IF($AK93&lt;4,1,IF($AK92&lt;2,1,0))</formula>
    </cfRule>
  </conditionalFormatting>
  <conditionalFormatting sqref="N111:P111">
    <cfRule type="expression" dxfId="2015" priority="8" stopIfTrue="1">
      <formula>IF($AK93&lt;5,1,IF($AK92&lt;2,1,0))</formula>
    </cfRule>
  </conditionalFormatting>
  <conditionalFormatting sqref="Q111:S111">
    <cfRule type="expression" dxfId="2014" priority="7" stopIfTrue="1">
      <formula>IF($AK93&lt;6,1,IF($AK92&lt;2,1,0))</formula>
    </cfRule>
  </conditionalFormatting>
  <conditionalFormatting sqref="B110:D110">
    <cfRule type="expression" dxfId="2013" priority="6" stopIfTrue="1">
      <formula>IF($AK93&gt;0,0,1)</formula>
    </cfRule>
  </conditionalFormatting>
  <conditionalFormatting sqref="H110:J110">
    <cfRule type="expression" dxfId="2012" priority="5" stopIfTrue="1">
      <formula>IF($AK93&gt;2,0,1)</formula>
    </cfRule>
  </conditionalFormatting>
  <conditionalFormatting sqref="K110:M110">
    <cfRule type="expression" dxfId="2011" priority="4" stopIfTrue="1">
      <formula>IF($AK93&gt;3,0,1)</formula>
    </cfRule>
  </conditionalFormatting>
  <conditionalFormatting sqref="N110:P110">
    <cfRule type="expression" dxfId="2010" priority="3" stopIfTrue="1">
      <formula>IF($AK93&gt;4,0,1)</formula>
    </cfRule>
  </conditionalFormatting>
  <conditionalFormatting sqref="Q110:S110">
    <cfRule type="expression" dxfId="2009" priority="2" stopIfTrue="1">
      <formula>IF($AK93&gt;5,0,1)</formula>
    </cfRule>
  </conditionalFormatting>
  <conditionalFormatting sqref="E110:G110">
    <cfRule type="expression" dxfId="2008" priority="1" stopIfTrue="1">
      <formula>IF($AK93&gt;1,0,1)</formula>
    </cfRule>
  </conditionalFormatting>
  <pageMargins left="0.25" right="0.25" top="0.25" bottom="0.25" header="0" footer="0"/>
  <pageSetup scale="80" fitToHeight="8" orientation="landscape" r:id="rId1"/>
  <headerFooter alignWithMargins="0"/>
  <rowBreaks count="1" manualBreakCount="1">
    <brk id="90" max="42" man="1"/>
  </rowBreaks>
  <drawing r:id="rId2"/>
  <legacyDrawing r:id="rId3"/>
  <controls>
    <mc:AlternateContent xmlns:mc="http://schemas.openxmlformats.org/markup-compatibility/2006">
      <mc:Choice Requires="x14">
        <control shapeId="6145" r:id="rId4" name="Pool4RecalcFinish">
          <controlPr defaultSize="0" autoLine="0" autoPict="0" r:id="rId5">
            <anchor moveWithCells="1" sizeWithCells="1">
              <from>
                <xdr:col>36</xdr:col>
                <xdr:colOff>114300</xdr:colOff>
                <xdr:row>174</xdr:row>
                <xdr:rowOff>0</xdr:rowOff>
              </from>
              <to>
                <xdr:col>41</xdr:col>
                <xdr:colOff>228600</xdr:colOff>
                <xdr:row>174</xdr:row>
                <xdr:rowOff>0</xdr:rowOff>
              </to>
            </anchor>
          </controlPr>
        </control>
      </mc:Choice>
      <mc:Fallback>
        <control shapeId="6145" r:id="rId4" name="Pool4RecalcFinish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>
    <tabColor rgb="FFFF0000"/>
  </sheetPr>
  <dimension ref="A1:BA174"/>
  <sheetViews>
    <sheetView zoomScale="70" zoomScaleNormal="70" workbookViewId="0">
      <selection activeCell="A175" sqref="A175:XFD268"/>
    </sheetView>
  </sheetViews>
  <sheetFormatPr defaultColWidth="8.88671875" defaultRowHeight="13.2" x14ac:dyDescent="0.25"/>
  <cols>
    <col min="1" max="1" width="8.88671875" style="4"/>
    <col min="2" max="2" width="3.6640625" style="4" customWidth="1"/>
    <col min="3" max="3" width="2.33203125" style="4" customWidth="1"/>
    <col min="4" max="5" width="3.6640625" style="4" customWidth="1"/>
    <col min="6" max="6" width="2.33203125" style="4" customWidth="1"/>
    <col min="7" max="8" width="3.6640625" style="4" customWidth="1"/>
    <col min="9" max="9" width="2.33203125" style="4" customWidth="1"/>
    <col min="10" max="11" width="3.6640625" style="4" customWidth="1"/>
    <col min="12" max="12" width="2.33203125" style="4" customWidth="1"/>
    <col min="13" max="14" width="3.6640625" style="4" customWidth="1"/>
    <col min="15" max="15" width="2.33203125" style="4" customWidth="1"/>
    <col min="16" max="17" width="3.6640625" style="4" customWidth="1"/>
    <col min="18" max="18" width="2.33203125" style="4" customWidth="1"/>
    <col min="19" max="20" width="3.6640625" style="4" customWidth="1"/>
    <col min="21" max="21" width="2.33203125" style="4" customWidth="1"/>
    <col min="22" max="23" width="3.6640625" style="4" customWidth="1"/>
    <col min="24" max="24" width="2.33203125" style="4" customWidth="1"/>
    <col min="25" max="26" width="3.6640625" style="4" customWidth="1"/>
    <col min="27" max="27" width="2.33203125" style="4" customWidth="1"/>
    <col min="28" max="29" width="3.6640625" style="4" customWidth="1"/>
    <col min="30" max="30" width="2.33203125" style="4" customWidth="1"/>
    <col min="31" max="31" width="3.6640625" style="4" customWidth="1"/>
    <col min="32" max="32" width="9.6640625" style="4" customWidth="1"/>
    <col min="33" max="42" width="3.6640625" style="4" customWidth="1"/>
    <col min="43" max="43" width="11" style="4" customWidth="1"/>
    <col min="44" max="46" width="8.88671875" style="4"/>
    <col min="47" max="47" width="21" style="4" customWidth="1"/>
    <col min="48" max="48" width="24.44140625" style="4" customWidth="1"/>
    <col min="49" max="49" width="14.33203125" style="4" bestFit="1" customWidth="1"/>
    <col min="50" max="50" width="9.6640625" style="4" bestFit="1" customWidth="1"/>
    <col min="51" max="51" width="7.6640625" style="4" bestFit="1" customWidth="1"/>
    <col min="52" max="52" width="24.5546875" style="4" bestFit="1" customWidth="1"/>
    <col min="53" max="53" width="3.109375" style="4" bestFit="1" customWidth="1"/>
    <col min="54" max="257" width="8.88671875" style="4"/>
    <col min="258" max="258" width="3.6640625" style="4" customWidth="1"/>
    <col min="259" max="259" width="2.33203125" style="4" customWidth="1"/>
    <col min="260" max="261" width="3.6640625" style="4" customWidth="1"/>
    <col min="262" max="262" width="2.33203125" style="4" customWidth="1"/>
    <col min="263" max="264" width="3.6640625" style="4" customWidth="1"/>
    <col min="265" max="265" width="2.33203125" style="4" customWidth="1"/>
    <col min="266" max="267" width="3.6640625" style="4" customWidth="1"/>
    <col min="268" max="268" width="2.33203125" style="4" customWidth="1"/>
    <col min="269" max="270" width="3.6640625" style="4" customWidth="1"/>
    <col min="271" max="271" width="2.33203125" style="4" customWidth="1"/>
    <col min="272" max="273" width="3.6640625" style="4" customWidth="1"/>
    <col min="274" max="274" width="2.33203125" style="4" customWidth="1"/>
    <col min="275" max="276" width="3.6640625" style="4" customWidth="1"/>
    <col min="277" max="277" width="2.33203125" style="4" customWidth="1"/>
    <col min="278" max="279" width="3.6640625" style="4" customWidth="1"/>
    <col min="280" max="280" width="2.33203125" style="4" customWidth="1"/>
    <col min="281" max="282" width="3.6640625" style="4" customWidth="1"/>
    <col min="283" max="283" width="2.33203125" style="4" customWidth="1"/>
    <col min="284" max="285" width="3.6640625" style="4" customWidth="1"/>
    <col min="286" max="286" width="2.33203125" style="4" customWidth="1"/>
    <col min="287" max="287" width="3.6640625" style="4" customWidth="1"/>
    <col min="288" max="288" width="9.6640625" style="4" customWidth="1"/>
    <col min="289" max="298" width="3.6640625" style="4" customWidth="1"/>
    <col min="299" max="299" width="11" style="4" customWidth="1"/>
    <col min="300" max="302" width="8.88671875" style="4"/>
    <col min="303" max="303" width="21" style="4" customWidth="1"/>
    <col min="304" max="304" width="24.44140625" style="4" customWidth="1"/>
    <col min="305" max="513" width="8.88671875" style="4"/>
    <col min="514" max="514" width="3.6640625" style="4" customWidth="1"/>
    <col min="515" max="515" width="2.33203125" style="4" customWidth="1"/>
    <col min="516" max="517" width="3.6640625" style="4" customWidth="1"/>
    <col min="518" max="518" width="2.33203125" style="4" customWidth="1"/>
    <col min="519" max="520" width="3.6640625" style="4" customWidth="1"/>
    <col min="521" max="521" width="2.33203125" style="4" customWidth="1"/>
    <col min="522" max="523" width="3.6640625" style="4" customWidth="1"/>
    <col min="524" max="524" width="2.33203125" style="4" customWidth="1"/>
    <col min="525" max="526" width="3.6640625" style="4" customWidth="1"/>
    <col min="527" max="527" width="2.33203125" style="4" customWidth="1"/>
    <col min="528" max="529" width="3.6640625" style="4" customWidth="1"/>
    <col min="530" max="530" width="2.33203125" style="4" customWidth="1"/>
    <col min="531" max="532" width="3.6640625" style="4" customWidth="1"/>
    <col min="533" max="533" width="2.33203125" style="4" customWidth="1"/>
    <col min="534" max="535" width="3.6640625" style="4" customWidth="1"/>
    <col min="536" max="536" width="2.33203125" style="4" customWidth="1"/>
    <col min="537" max="538" width="3.6640625" style="4" customWidth="1"/>
    <col min="539" max="539" width="2.33203125" style="4" customWidth="1"/>
    <col min="540" max="541" width="3.6640625" style="4" customWidth="1"/>
    <col min="542" max="542" width="2.33203125" style="4" customWidth="1"/>
    <col min="543" max="543" width="3.6640625" style="4" customWidth="1"/>
    <col min="544" max="544" width="9.6640625" style="4" customWidth="1"/>
    <col min="545" max="554" width="3.6640625" style="4" customWidth="1"/>
    <col min="555" max="555" width="11" style="4" customWidth="1"/>
    <col min="556" max="558" width="8.88671875" style="4"/>
    <col min="559" max="559" width="21" style="4" customWidth="1"/>
    <col min="560" max="560" width="24.44140625" style="4" customWidth="1"/>
    <col min="561" max="769" width="8.88671875" style="4"/>
    <col min="770" max="770" width="3.6640625" style="4" customWidth="1"/>
    <col min="771" max="771" width="2.33203125" style="4" customWidth="1"/>
    <col min="772" max="773" width="3.6640625" style="4" customWidth="1"/>
    <col min="774" max="774" width="2.33203125" style="4" customWidth="1"/>
    <col min="775" max="776" width="3.6640625" style="4" customWidth="1"/>
    <col min="777" max="777" width="2.33203125" style="4" customWidth="1"/>
    <col min="778" max="779" width="3.6640625" style="4" customWidth="1"/>
    <col min="780" max="780" width="2.33203125" style="4" customWidth="1"/>
    <col min="781" max="782" width="3.6640625" style="4" customWidth="1"/>
    <col min="783" max="783" width="2.33203125" style="4" customWidth="1"/>
    <col min="784" max="785" width="3.6640625" style="4" customWidth="1"/>
    <col min="786" max="786" width="2.33203125" style="4" customWidth="1"/>
    <col min="787" max="788" width="3.6640625" style="4" customWidth="1"/>
    <col min="789" max="789" width="2.33203125" style="4" customWidth="1"/>
    <col min="790" max="791" width="3.6640625" style="4" customWidth="1"/>
    <col min="792" max="792" width="2.33203125" style="4" customWidth="1"/>
    <col min="793" max="794" width="3.6640625" style="4" customWidth="1"/>
    <col min="795" max="795" width="2.33203125" style="4" customWidth="1"/>
    <col min="796" max="797" width="3.6640625" style="4" customWidth="1"/>
    <col min="798" max="798" width="2.33203125" style="4" customWidth="1"/>
    <col min="799" max="799" width="3.6640625" style="4" customWidth="1"/>
    <col min="800" max="800" width="9.6640625" style="4" customWidth="1"/>
    <col min="801" max="810" width="3.6640625" style="4" customWidth="1"/>
    <col min="811" max="811" width="11" style="4" customWidth="1"/>
    <col min="812" max="814" width="8.88671875" style="4"/>
    <col min="815" max="815" width="21" style="4" customWidth="1"/>
    <col min="816" max="816" width="24.44140625" style="4" customWidth="1"/>
    <col min="817" max="1025" width="8.88671875" style="4"/>
    <col min="1026" max="1026" width="3.6640625" style="4" customWidth="1"/>
    <col min="1027" max="1027" width="2.33203125" style="4" customWidth="1"/>
    <col min="1028" max="1029" width="3.6640625" style="4" customWidth="1"/>
    <col min="1030" max="1030" width="2.33203125" style="4" customWidth="1"/>
    <col min="1031" max="1032" width="3.6640625" style="4" customWidth="1"/>
    <col min="1033" max="1033" width="2.33203125" style="4" customWidth="1"/>
    <col min="1034" max="1035" width="3.6640625" style="4" customWidth="1"/>
    <col min="1036" max="1036" width="2.33203125" style="4" customWidth="1"/>
    <col min="1037" max="1038" width="3.6640625" style="4" customWidth="1"/>
    <col min="1039" max="1039" width="2.33203125" style="4" customWidth="1"/>
    <col min="1040" max="1041" width="3.6640625" style="4" customWidth="1"/>
    <col min="1042" max="1042" width="2.33203125" style="4" customWidth="1"/>
    <col min="1043" max="1044" width="3.6640625" style="4" customWidth="1"/>
    <col min="1045" max="1045" width="2.33203125" style="4" customWidth="1"/>
    <col min="1046" max="1047" width="3.6640625" style="4" customWidth="1"/>
    <col min="1048" max="1048" width="2.33203125" style="4" customWidth="1"/>
    <col min="1049" max="1050" width="3.6640625" style="4" customWidth="1"/>
    <col min="1051" max="1051" width="2.33203125" style="4" customWidth="1"/>
    <col min="1052" max="1053" width="3.6640625" style="4" customWidth="1"/>
    <col min="1054" max="1054" width="2.33203125" style="4" customWidth="1"/>
    <col min="1055" max="1055" width="3.6640625" style="4" customWidth="1"/>
    <col min="1056" max="1056" width="9.6640625" style="4" customWidth="1"/>
    <col min="1057" max="1066" width="3.6640625" style="4" customWidth="1"/>
    <col min="1067" max="1067" width="11" style="4" customWidth="1"/>
    <col min="1068" max="1070" width="8.88671875" style="4"/>
    <col min="1071" max="1071" width="21" style="4" customWidth="1"/>
    <col min="1072" max="1072" width="24.44140625" style="4" customWidth="1"/>
    <col min="1073" max="1281" width="8.88671875" style="4"/>
    <col min="1282" max="1282" width="3.6640625" style="4" customWidth="1"/>
    <col min="1283" max="1283" width="2.33203125" style="4" customWidth="1"/>
    <col min="1284" max="1285" width="3.6640625" style="4" customWidth="1"/>
    <col min="1286" max="1286" width="2.33203125" style="4" customWidth="1"/>
    <col min="1287" max="1288" width="3.6640625" style="4" customWidth="1"/>
    <col min="1289" max="1289" width="2.33203125" style="4" customWidth="1"/>
    <col min="1290" max="1291" width="3.6640625" style="4" customWidth="1"/>
    <col min="1292" max="1292" width="2.33203125" style="4" customWidth="1"/>
    <col min="1293" max="1294" width="3.6640625" style="4" customWidth="1"/>
    <col min="1295" max="1295" width="2.33203125" style="4" customWidth="1"/>
    <col min="1296" max="1297" width="3.6640625" style="4" customWidth="1"/>
    <col min="1298" max="1298" width="2.33203125" style="4" customWidth="1"/>
    <col min="1299" max="1300" width="3.6640625" style="4" customWidth="1"/>
    <col min="1301" max="1301" width="2.33203125" style="4" customWidth="1"/>
    <col min="1302" max="1303" width="3.6640625" style="4" customWidth="1"/>
    <col min="1304" max="1304" width="2.33203125" style="4" customWidth="1"/>
    <col min="1305" max="1306" width="3.6640625" style="4" customWidth="1"/>
    <col min="1307" max="1307" width="2.33203125" style="4" customWidth="1"/>
    <col min="1308" max="1309" width="3.6640625" style="4" customWidth="1"/>
    <col min="1310" max="1310" width="2.33203125" style="4" customWidth="1"/>
    <col min="1311" max="1311" width="3.6640625" style="4" customWidth="1"/>
    <col min="1312" max="1312" width="9.6640625" style="4" customWidth="1"/>
    <col min="1313" max="1322" width="3.6640625" style="4" customWidth="1"/>
    <col min="1323" max="1323" width="11" style="4" customWidth="1"/>
    <col min="1324" max="1326" width="8.88671875" style="4"/>
    <col min="1327" max="1327" width="21" style="4" customWidth="1"/>
    <col min="1328" max="1328" width="24.44140625" style="4" customWidth="1"/>
    <col min="1329" max="1537" width="8.88671875" style="4"/>
    <col min="1538" max="1538" width="3.6640625" style="4" customWidth="1"/>
    <col min="1539" max="1539" width="2.33203125" style="4" customWidth="1"/>
    <col min="1540" max="1541" width="3.6640625" style="4" customWidth="1"/>
    <col min="1542" max="1542" width="2.33203125" style="4" customWidth="1"/>
    <col min="1543" max="1544" width="3.6640625" style="4" customWidth="1"/>
    <col min="1545" max="1545" width="2.33203125" style="4" customWidth="1"/>
    <col min="1546" max="1547" width="3.6640625" style="4" customWidth="1"/>
    <col min="1548" max="1548" width="2.33203125" style="4" customWidth="1"/>
    <col min="1549" max="1550" width="3.6640625" style="4" customWidth="1"/>
    <col min="1551" max="1551" width="2.33203125" style="4" customWidth="1"/>
    <col min="1552" max="1553" width="3.6640625" style="4" customWidth="1"/>
    <col min="1554" max="1554" width="2.33203125" style="4" customWidth="1"/>
    <col min="1555" max="1556" width="3.6640625" style="4" customWidth="1"/>
    <col min="1557" max="1557" width="2.33203125" style="4" customWidth="1"/>
    <col min="1558" max="1559" width="3.6640625" style="4" customWidth="1"/>
    <col min="1560" max="1560" width="2.33203125" style="4" customWidth="1"/>
    <col min="1561" max="1562" width="3.6640625" style="4" customWidth="1"/>
    <col min="1563" max="1563" width="2.33203125" style="4" customWidth="1"/>
    <col min="1564" max="1565" width="3.6640625" style="4" customWidth="1"/>
    <col min="1566" max="1566" width="2.33203125" style="4" customWidth="1"/>
    <col min="1567" max="1567" width="3.6640625" style="4" customWidth="1"/>
    <col min="1568" max="1568" width="9.6640625" style="4" customWidth="1"/>
    <col min="1569" max="1578" width="3.6640625" style="4" customWidth="1"/>
    <col min="1579" max="1579" width="11" style="4" customWidth="1"/>
    <col min="1580" max="1582" width="8.88671875" style="4"/>
    <col min="1583" max="1583" width="21" style="4" customWidth="1"/>
    <col min="1584" max="1584" width="24.44140625" style="4" customWidth="1"/>
    <col min="1585" max="1793" width="8.88671875" style="4"/>
    <col min="1794" max="1794" width="3.6640625" style="4" customWidth="1"/>
    <col min="1795" max="1795" width="2.33203125" style="4" customWidth="1"/>
    <col min="1796" max="1797" width="3.6640625" style="4" customWidth="1"/>
    <col min="1798" max="1798" width="2.33203125" style="4" customWidth="1"/>
    <col min="1799" max="1800" width="3.6640625" style="4" customWidth="1"/>
    <col min="1801" max="1801" width="2.33203125" style="4" customWidth="1"/>
    <col min="1802" max="1803" width="3.6640625" style="4" customWidth="1"/>
    <col min="1804" max="1804" width="2.33203125" style="4" customWidth="1"/>
    <col min="1805" max="1806" width="3.6640625" style="4" customWidth="1"/>
    <col min="1807" max="1807" width="2.33203125" style="4" customWidth="1"/>
    <col min="1808" max="1809" width="3.6640625" style="4" customWidth="1"/>
    <col min="1810" max="1810" width="2.33203125" style="4" customWidth="1"/>
    <col min="1811" max="1812" width="3.6640625" style="4" customWidth="1"/>
    <col min="1813" max="1813" width="2.33203125" style="4" customWidth="1"/>
    <col min="1814" max="1815" width="3.6640625" style="4" customWidth="1"/>
    <col min="1816" max="1816" width="2.33203125" style="4" customWidth="1"/>
    <col min="1817" max="1818" width="3.6640625" style="4" customWidth="1"/>
    <col min="1819" max="1819" width="2.33203125" style="4" customWidth="1"/>
    <col min="1820" max="1821" width="3.6640625" style="4" customWidth="1"/>
    <col min="1822" max="1822" width="2.33203125" style="4" customWidth="1"/>
    <col min="1823" max="1823" width="3.6640625" style="4" customWidth="1"/>
    <col min="1824" max="1824" width="9.6640625" style="4" customWidth="1"/>
    <col min="1825" max="1834" width="3.6640625" style="4" customWidth="1"/>
    <col min="1835" max="1835" width="11" style="4" customWidth="1"/>
    <col min="1836" max="1838" width="8.88671875" style="4"/>
    <col min="1839" max="1839" width="21" style="4" customWidth="1"/>
    <col min="1840" max="1840" width="24.44140625" style="4" customWidth="1"/>
    <col min="1841" max="2049" width="8.88671875" style="4"/>
    <col min="2050" max="2050" width="3.6640625" style="4" customWidth="1"/>
    <col min="2051" max="2051" width="2.33203125" style="4" customWidth="1"/>
    <col min="2052" max="2053" width="3.6640625" style="4" customWidth="1"/>
    <col min="2054" max="2054" width="2.33203125" style="4" customWidth="1"/>
    <col min="2055" max="2056" width="3.6640625" style="4" customWidth="1"/>
    <col min="2057" max="2057" width="2.33203125" style="4" customWidth="1"/>
    <col min="2058" max="2059" width="3.6640625" style="4" customWidth="1"/>
    <col min="2060" max="2060" width="2.33203125" style="4" customWidth="1"/>
    <col min="2061" max="2062" width="3.6640625" style="4" customWidth="1"/>
    <col min="2063" max="2063" width="2.33203125" style="4" customWidth="1"/>
    <col min="2064" max="2065" width="3.6640625" style="4" customWidth="1"/>
    <col min="2066" max="2066" width="2.33203125" style="4" customWidth="1"/>
    <col min="2067" max="2068" width="3.6640625" style="4" customWidth="1"/>
    <col min="2069" max="2069" width="2.33203125" style="4" customWidth="1"/>
    <col min="2070" max="2071" width="3.6640625" style="4" customWidth="1"/>
    <col min="2072" max="2072" width="2.33203125" style="4" customWidth="1"/>
    <col min="2073" max="2074" width="3.6640625" style="4" customWidth="1"/>
    <col min="2075" max="2075" width="2.33203125" style="4" customWidth="1"/>
    <col min="2076" max="2077" width="3.6640625" style="4" customWidth="1"/>
    <col min="2078" max="2078" width="2.33203125" style="4" customWidth="1"/>
    <col min="2079" max="2079" width="3.6640625" style="4" customWidth="1"/>
    <col min="2080" max="2080" width="9.6640625" style="4" customWidth="1"/>
    <col min="2081" max="2090" width="3.6640625" style="4" customWidth="1"/>
    <col min="2091" max="2091" width="11" style="4" customWidth="1"/>
    <col min="2092" max="2094" width="8.88671875" style="4"/>
    <col min="2095" max="2095" width="21" style="4" customWidth="1"/>
    <col min="2096" max="2096" width="24.44140625" style="4" customWidth="1"/>
    <col min="2097" max="2305" width="8.88671875" style="4"/>
    <col min="2306" max="2306" width="3.6640625" style="4" customWidth="1"/>
    <col min="2307" max="2307" width="2.33203125" style="4" customWidth="1"/>
    <col min="2308" max="2309" width="3.6640625" style="4" customWidth="1"/>
    <col min="2310" max="2310" width="2.33203125" style="4" customWidth="1"/>
    <col min="2311" max="2312" width="3.6640625" style="4" customWidth="1"/>
    <col min="2313" max="2313" width="2.33203125" style="4" customWidth="1"/>
    <col min="2314" max="2315" width="3.6640625" style="4" customWidth="1"/>
    <col min="2316" max="2316" width="2.33203125" style="4" customWidth="1"/>
    <col min="2317" max="2318" width="3.6640625" style="4" customWidth="1"/>
    <col min="2319" max="2319" width="2.33203125" style="4" customWidth="1"/>
    <col min="2320" max="2321" width="3.6640625" style="4" customWidth="1"/>
    <col min="2322" max="2322" width="2.33203125" style="4" customWidth="1"/>
    <col min="2323" max="2324" width="3.6640625" style="4" customWidth="1"/>
    <col min="2325" max="2325" width="2.33203125" style="4" customWidth="1"/>
    <col min="2326" max="2327" width="3.6640625" style="4" customWidth="1"/>
    <col min="2328" max="2328" width="2.33203125" style="4" customWidth="1"/>
    <col min="2329" max="2330" width="3.6640625" style="4" customWidth="1"/>
    <col min="2331" max="2331" width="2.33203125" style="4" customWidth="1"/>
    <col min="2332" max="2333" width="3.6640625" style="4" customWidth="1"/>
    <col min="2334" max="2334" width="2.33203125" style="4" customWidth="1"/>
    <col min="2335" max="2335" width="3.6640625" style="4" customWidth="1"/>
    <col min="2336" max="2336" width="9.6640625" style="4" customWidth="1"/>
    <col min="2337" max="2346" width="3.6640625" style="4" customWidth="1"/>
    <col min="2347" max="2347" width="11" style="4" customWidth="1"/>
    <col min="2348" max="2350" width="8.88671875" style="4"/>
    <col min="2351" max="2351" width="21" style="4" customWidth="1"/>
    <col min="2352" max="2352" width="24.44140625" style="4" customWidth="1"/>
    <col min="2353" max="2561" width="8.88671875" style="4"/>
    <col min="2562" max="2562" width="3.6640625" style="4" customWidth="1"/>
    <col min="2563" max="2563" width="2.33203125" style="4" customWidth="1"/>
    <col min="2564" max="2565" width="3.6640625" style="4" customWidth="1"/>
    <col min="2566" max="2566" width="2.33203125" style="4" customWidth="1"/>
    <col min="2567" max="2568" width="3.6640625" style="4" customWidth="1"/>
    <col min="2569" max="2569" width="2.33203125" style="4" customWidth="1"/>
    <col min="2570" max="2571" width="3.6640625" style="4" customWidth="1"/>
    <col min="2572" max="2572" width="2.33203125" style="4" customWidth="1"/>
    <col min="2573" max="2574" width="3.6640625" style="4" customWidth="1"/>
    <col min="2575" max="2575" width="2.33203125" style="4" customWidth="1"/>
    <col min="2576" max="2577" width="3.6640625" style="4" customWidth="1"/>
    <col min="2578" max="2578" width="2.33203125" style="4" customWidth="1"/>
    <col min="2579" max="2580" width="3.6640625" style="4" customWidth="1"/>
    <col min="2581" max="2581" width="2.33203125" style="4" customWidth="1"/>
    <col min="2582" max="2583" width="3.6640625" style="4" customWidth="1"/>
    <col min="2584" max="2584" width="2.33203125" style="4" customWidth="1"/>
    <col min="2585" max="2586" width="3.6640625" style="4" customWidth="1"/>
    <col min="2587" max="2587" width="2.33203125" style="4" customWidth="1"/>
    <col min="2588" max="2589" width="3.6640625" style="4" customWidth="1"/>
    <col min="2590" max="2590" width="2.33203125" style="4" customWidth="1"/>
    <col min="2591" max="2591" width="3.6640625" style="4" customWidth="1"/>
    <col min="2592" max="2592" width="9.6640625" style="4" customWidth="1"/>
    <col min="2593" max="2602" width="3.6640625" style="4" customWidth="1"/>
    <col min="2603" max="2603" width="11" style="4" customWidth="1"/>
    <col min="2604" max="2606" width="8.88671875" style="4"/>
    <col min="2607" max="2607" width="21" style="4" customWidth="1"/>
    <col min="2608" max="2608" width="24.44140625" style="4" customWidth="1"/>
    <col min="2609" max="2817" width="8.88671875" style="4"/>
    <col min="2818" max="2818" width="3.6640625" style="4" customWidth="1"/>
    <col min="2819" max="2819" width="2.33203125" style="4" customWidth="1"/>
    <col min="2820" max="2821" width="3.6640625" style="4" customWidth="1"/>
    <col min="2822" max="2822" width="2.33203125" style="4" customWidth="1"/>
    <col min="2823" max="2824" width="3.6640625" style="4" customWidth="1"/>
    <col min="2825" max="2825" width="2.33203125" style="4" customWidth="1"/>
    <col min="2826" max="2827" width="3.6640625" style="4" customWidth="1"/>
    <col min="2828" max="2828" width="2.33203125" style="4" customWidth="1"/>
    <col min="2829" max="2830" width="3.6640625" style="4" customWidth="1"/>
    <col min="2831" max="2831" width="2.33203125" style="4" customWidth="1"/>
    <col min="2832" max="2833" width="3.6640625" style="4" customWidth="1"/>
    <col min="2834" max="2834" width="2.33203125" style="4" customWidth="1"/>
    <col min="2835" max="2836" width="3.6640625" style="4" customWidth="1"/>
    <col min="2837" max="2837" width="2.33203125" style="4" customWidth="1"/>
    <col min="2838" max="2839" width="3.6640625" style="4" customWidth="1"/>
    <col min="2840" max="2840" width="2.33203125" style="4" customWidth="1"/>
    <col min="2841" max="2842" width="3.6640625" style="4" customWidth="1"/>
    <col min="2843" max="2843" width="2.33203125" style="4" customWidth="1"/>
    <col min="2844" max="2845" width="3.6640625" style="4" customWidth="1"/>
    <col min="2846" max="2846" width="2.33203125" style="4" customWidth="1"/>
    <col min="2847" max="2847" width="3.6640625" style="4" customWidth="1"/>
    <col min="2848" max="2848" width="9.6640625" style="4" customWidth="1"/>
    <col min="2849" max="2858" width="3.6640625" style="4" customWidth="1"/>
    <col min="2859" max="2859" width="11" style="4" customWidth="1"/>
    <col min="2860" max="2862" width="8.88671875" style="4"/>
    <col min="2863" max="2863" width="21" style="4" customWidth="1"/>
    <col min="2864" max="2864" width="24.44140625" style="4" customWidth="1"/>
    <col min="2865" max="3073" width="8.88671875" style="4"/>
    <col min="3074" max="3074" width="3.6640625" style="4" customWidth="1"/>
    <col min="3075" max="3075" width="2.33203125" style="4" customWidth="1"/>
    <col min="3076" max="3077" width="3.6640625" style="4" customWidth="1"/>
    <col min="3078" max="3078" width="2.33203125" style="4" customWidth="1"/>
    <col min="3079" max="3080" width="3.6640625" style="4" customWidth="1"/>
    <col min="3081" max="3081" width="2.33203125" style="4" customWidth="1"/>
    <col min="3082" max="3083" width="3.6640625" style="4" customWidth="1"/>
    <col min="3084" max="3084" width="2.33203125" style="4" customWidth="1"/>
    <col min="3085" max="3086" width="3.6640625" style="4" customWidth="1"/>
    <col min="3087" max="3087" width="2.33203125" style="4" customWidth="1"/>
    <col min="3088" max="3089" width="3.6640625" style="4" customWidth="1"/>
    <col min="3090" max="3090" width="2.33203125" style="4" customWidth="1"/>
    <col min="3091" max="3092" width="3.6640625" style="4" customWidth="1"/>
    <col min="3093" max="3093" width="2.33203125" style="4" customWidth="1"/>
    <col min="3094" max="3095" width="3.6640625" style="4" customWidth="1"/>
    <col min="3096" max="3096" width="2.33203125" style="4" customWidth="1"/>
    <col min="3097" max="3098" width="3.6640625" style="4" customWidth="1"/>
    <col min="3099" max="3099" width="2.33203125" style="4" customWidth="1"/>
    <col min="3100" max="3101" width="3.6640625" style="4" customWidth="1"/>
    <col min="3102" max="3102" width="2.33203125" style="4" customWidth="1"/>
    <col min="3103" max="3103" width="3.6640625" style="4" customWidth="1"/>
    <col min="3104" max="3104" width="9.6640625" style="4" customWidth="1"/>
    <col min="3105" max="3114" width="3.6640625" style="4" customWidth="1"/>
    <col min="3115" max="3115" width="11" style="4" customWidth="1"/>
    <col min="3116" max="3118" width="8.88671875" style="4"/>
    <col min="3119" max="3119" width="21" style="4" customWidth="1"/>
    <col min="3120" max="3120" width="24.44140625" style="4" customWidth="1"/>
    <col min="3121" max="3329" width="8.88671875" style="4"/>
    <col min="3330" max="3330" width="3.6640625" style="4" customWidth="1"/>
    <col min="3331" max="3331" width="2.33203125" style="4" customWidth="1"/>
    <col min="3332" max="3333" width="3.6640625" style="4" customWidth="1"/>
    <col min="3334" max="3334" width="2.33203125" style="4" customWidth="1"/>
    <col min="3335" max="3336" width="3.6640625" style="4" customWidth="1"/>
    <col min="3337" max="3337" width="2.33203125" style="4" customWidth="1"/>
    <col min="3338" max="3339" width="3.6640625" style="4" customWidth="1"/>
    <col min="3340" max="3340" width="2.33203125" style="4" customWidth="1"/>
    <col min="3341" max="3342" width="3.6640625" style="4" customWidth="1"/>
    <col min="3343" max="3343" width="2.33203125" style="4" customWidth="1"/>
    <col min="3344" max="3345" width="3.6640625" style="4" customWidth="1"/>
    <col min="3346" max="3346" width="2.33203125" style="4" customWidth="1"/>
    <col min="3347" max="3348" width="3.6640625" style="4" customWidth="1"/>
    <col min="3349" max="3349" width="2.33203125" style="4" customWidth="1"/>
    <col min="3350" max="3351" width="3.6640625" style="4" customWidth="1"/>
    <col min="3352" max="3352" width="2.33203125" style="4" customWidth="1"/>
    <col min="3353" max="3354" width="3.6640625" style="4" customWidth="1"/>
    <col min="3355" max="3355" width="2.33203125" style="4" customWidth="1"/>
    <col min="3356" max="3357" width="3.6640625" style="4" customWidth="1"/>
    <col min="3358" max="3358" width="2.33203125" style="4" customWidth="1"/>
    <col min="3359" max="3359" width="3.6640625" style="4" customWidth="1"/>
    <col min="3360" max="3360" width="9.6640625" style="4" customWidth="1"/>
    <col min="3361" max="3370" width="3.6640625" style="4" customWidth="1"/>
    <col min="3371" max="3371" width="11" style="4" customWidth="1"/>
    <col min="3372" max="3374" width="8.88671875" style="4"/>
    <col min="3375" max="3375" width="21" style="4" customWidth="1"/>
    <col min="3376" max="3376" width="24.44140625" style="4" customWidth="1"/>
    <col min="3377" max="3585" width="8.88671875" style="4"/>
    <col min="3586" max="3586" width="3.6640625" style="4" customWidth="1"/>
    <col min="3587" max="3587" width="2.33203125" style="4" customWidth="1"/>
    <col min="3588" max="3589" width="3.6640625" style="4" customWidth="1"/>
    <col min="3590" max="3590" width="2.33203125" style="4" customWidth="1"/>
    <col min="3591" max="3592" width="3.6640625" style="4" customWidth="1"/>
    <col min="3593" max="3593" width="2.33203125" style="4" customWidth="1"/>
    <col min="3594" max="3595" width="3.6640625" style="4" customWidth="1"/>
    <col min="3596" max="3596" width="2.33203125" style="4" customWidth="1"/>
    <col min="3597" max="3598" width="3.6640625" style="4" customWidth="1"/>
    <col min="3599" max="3599" width="2.33203125" style="4" customWidth="1"/>
    <col min="3600" max="3601" width="3.6640625" style="4" customWidth="1"/>
    <col min="3602" max="3602" width="2.33203125" style="4" customWidth="1"/>
    <col min="3603" max="3604" width="3.6640625" style="4" customWidth="1"/>
    <col min="3605" max="3605" width="2.33203125" style="4" customWidth="1"/>
    <col min="3606" max="3607" width="3.6640625" style="4" customWidth="1"/>
    <col min="3608" max="3608" width="2.33203125" style="4" customWidth="1"/>
    <col min="3609" max="3610" width="3.6640625" style="4" customWidth="1"/>
    <col min="3611" max="3611" width="2.33203125" style="4" customWidth="1"/>
    <col min="3612" max="3613" width="3.6640625" style="4" customWidth="1"/>
    <col min="3614" max="3614" width="2.33203125" style="4" customWidth="1"/>
    <col min="3615" max="3615" width="3.6640625" style="4" customWidth="1"/>
    <col min="3616" max="3616" width="9.6640625" style="4" customWidth="1"/>
    <col min="3617" max="3626" width="3.6640625" style="4" customWidth="1"/>
    <col min="3627" max="3627" width="11" style="4" customWidth="1"/>
    <col min="3628" max="3630" width="8.88671875" style="4"/>
    <col min="3631" max="3631" width="21" style="4" customWidth="1"/>
    <col min="3632" max="3632" width="24.44140625" style="4" customWidth="1"/>
    <col min="3633" max="3841" width="8.88671875" style="4"/>
    <col min="3842" max="3842" width="3.6640625" style="4" customWidth="1"/>
    <col min="3843" max="3843" width="2.33203125" style="4" customWidth="1"/>
    <col min="3844" max="3845" width="3.6640625" style="4" customWidth="1"/>
    <col min="3846" max="3846" width="2.33203125" style="4" customWidth="1"/>
    <col min="3847" max="3848" width="3.6640625" style="4" customWidth="1"/>
    <col min="3849" max="3849" width="2.33203125" style="4" customWidth="1"/>
    <col min="3850" max="3851" width="3.6640625" style="4" customWidth="1"/>
    <col min="3852" max="3852" width="2.33203125" style="4" customWidth="1"/>
    <col min="3853" max="3854" width="3.6640625" style="4" customWidth="1"/>
    <col min="3855" max="3855" width="2.33203125" style="4" customWidth="1"/>
    <col min="3856" max="3857" width="3.6640625" style="4" customWidth="1"/>
    <col min="3858" max="3858" width="2.33203125" style="4" customWidth="1"/>
    <col min="3859" max="3860" width="3.6640625" style="4" customWidth="1"/>
    <col min="3861" max="3861" width="2.33203125" style="4" customWidth="1"/>
    <col min="3862" max="3863" width="3.6640625" style="4" customWidth="1"/>
    <col min="3864" max="3864" width="2.33203125" style="4" customWidth="1"/>
    <col min="3865" max="3866" width="3.6640625" style="4" customWidth="1"/>
    <col min="3867" max="3867" width="2.33203125" style="4" customWidth="1"/>
    <col min="3868" max="3869" width="3.6640625" style="4" customWidth="1"/>
    <col min="3870" max="3870" width="2.33203125" style="4" customWidth="1"/>
    <col min="3871" max="3871" width="3.6640625" style="4" customWidth="1"/>
    <col min="3872" max="3872" width="9.6640625" style="4" customWidth="1"/>
    <col min="3873" max="3882" width="3.6640625" style="4" customWidth="1"/>
    <col min="3883" max="3883" width="11" style="4" customWidth="1"/>
    <col min="3884" max="3886" width="8.88671875" style="4"/>
    <col min="3887" max="3887" width="21" style="4" customWidth="1"/>
    <col min="3888" max="3888" width="24.44140625" style="4" customWidth="1"/>
    <col min="3889" max="4097" width="8.88671875" style="4"/>
    <col min="4098" max="4098" width="3.6640625" style="4" customWidth="1"/>
    <col min="4099" max="4099" width="2.33203125" style="4" customWidth="1"/>
    <col min="4100" max="4101" width="3.6640625" style="4" customWidth="1"/>
    <col min="4102" max="4102" width="2.33203125" style="4" customWidth="1"/>
    <col min="4103" max="4104" width="3.6640625" style="4" customWidth="1"/>
    <col min="4105" max="4105" width="2.33203125" style="4" customWidth="1"/>
    <col min="4106" max="4107" width="3.6640625" style="4" customWidth="1"/>
    <col min="4108" max="4108" width="2.33203125" style="4" customWidth="1"/>
    <col min="4109" max="4110" width="3.6640625" style="4" customWidth="1"/>
    <col min="4111" max="4111" width="2.33203125" style="4" customWidth="1"/>
    <col min="4112" max="4113" width="3.6640625" style="4" customWidth="1"/>
    <col min="4114" max="4114" width="2.33203125" style="4" customWidth="1"/>
    <col min="4115" max="4116" width="3.6640625" style="4" customWidth="1"/>
    <col min="4117" max="4117" width="2.33203125" style="4" customWidth="1"/>
    <col min="4118" max="4119" width="3.6640625" style="4" customWidth="1"/>
    <col min="4120" max="4120" width="2.33203125" style="4" customWidth="1"/>
    <col min="4121" max="4122" width="3.6640625" style="4" customWidth="1"/>
    <col min="4123" max="4123" width="2.33203125" style="4" customWidth="1"/>
    <col min="4124" max="4125" width="3.6640625" style="4" customWidth="1"/>
    <col min="4126" max="4126" width="2.33203125" style="4" customWidth="1"/>
    <col min="4127" max="4127" width="3.6640625" style="4" customWidth="1"/>
    <col min="4128" max="4128" width="9.6640625" style="4" customWidth="1"/>
    <col min="4129" max="4138" width="3.6640625" style="4" customWidth="1"/>
    <col min="4139" max="4139" width="11" style="4" customWidth="1"/>
    <col min="4140" max="4142" width="8.88671875" style="4"/>
    <col min="4143" max="4143" width="21" style="4" customWidth="1"/>
    <col min="4144" max="4144" width="24.44140625" style="4" customWidth="1"/>
    <col min="4145" max="4353" width="8.88671875" style="4"/>
    <col min="4354" max="4354" width="3.6640625" style="4" customWidth="1"/>
    <col min="4355" max="4355" width="2.33203125" style="4" customWidth="1"/>
    <col min="4356" max="4357" width="3.6640625" style="4" customWidth="1"/>
    <col min="4358" max="4358" width="2.33203125" style="4" customWidth="1"/>
    <col min="4359" max="4360" width="3.6640625" style="4" customWidth="1"/>
    <col min="4361" max="4361" width="2.33203125" style="4" customWidth="1"/>
    <col min="4362" max="4363" width="3.6640625" style="4" customWidth="1"/>
    <col min="4364" max="4364" width="2.33203125" style="4" customWidth="1"/>
    <col min="4365" max="4366" width="3.6640625" style="4" customWidth="1"/>
    <col min="4367" max="4367" width="2.33203125" style="4" customWidth="1"/>
    <col min="4368" max="4369" width="3.6640625" style="4" customWidth="1"/>
    <col min="4370" max="4370" width="2.33203125" style="4" customWidth="1"/>
    <col min="4371" max="4372" width="3.6640625" style="4" customWidth="1"/>
    <col min="4373" max="4373" width="2.33203125" style="4" customWidth="1"/>
    <col min="4374" max="4375" width="3.6640625" style="4" customWidth="1"/>
    <col min="4376" max="4376" width="2.33203125" style="4" customWidth="1"/>
    <col min="4377" max="4378" width="3.6640625" style="4" customWidth="1"/>
    <col min="4379" max="4379" width="2.33203125" style="4" customWidth="1"/>
    <col min="4380" max="4381" width="3.6640625" style="4" customWidth="1"/>
    <col min="4382" max="4382" width="2.33203125" style="4" customWidth="1"/>
    <col min="4383" max="4383" width="3.6640625" style="4" customWidth="1"/>
    <col min="4384" max="4384" width="9.6640625" style="4" customWidth="1"/>
    <col min="4385" max="4394" width="3.6640625" style="4" customWidth="1"/>
    <col min="4395" max="4395" width="11" style="4" customWidth="1"/>
    <col min="4396" max="4398" width="8.88671875" style="4"/>
    <col min="4399" max="4399" width="21" style="4" customWidth="1"/>
    <col min="4400" max="4400" width="24.44140625" style="4" customWidth="1"/>
    <col min="4401" max="4609" width="8.88671875" style="4"/>
    <col min="4610" max="4610" width="3.6640625" style="4" customWidth="1"/>
    <col min="4611" max="4611" width="2.33203125" style="4" customWidth="1"/>
    <col min="4612" max="4613" width="3.6640625" style="4" customWidth="1"/>
    <col min="4614" max="4614" width="2.33203125" style="4" customWidth="1"/>
    <col min="4615" max="4616" width="3.6640625" style="4" customWidth="1"/>
    <col min="4617" max="4617" width="2.33203125" style="4" customWidth="1"/>
    <col min="4618" max="4619" width="3.6640625" style="4" customWidth="1"/>
    <col min="4620" max="4620" width="2.33203125" style="4" customWidth="1"/>
    <col min="4621" max="4622" width="3.6640625" style="4" customWidth="1"/>
    <col min="4623" max="4623" width="2.33203125" style="4" customWidth="1"/>
    <col min="4624" max="4625" width="3.6640625" style="4" customWidth="1"/>
    <col min="4626" max="4626" width="2.33203125" style="4" customWidth="1"/>
    <col min="4627" max="4628" width="3.6640625" style="4" customWidth="1"/>
    <col min="4629" max="4629" width="2.33203125" style="4" customWidth="1"/>
    <col min="4630" max="4631" width="3.6640625" style="4" customWidth="1"/>
    <col min="4632" max="4632" width="2.33203125" style="4" customWidth="1"/>
    <col min="4633" max="4634" width="3.6640625" style="4" customWidth="1"/>
    <col min="4635" max="4635" width="2.33203125" style="4" customWidth="1"/>
    <col min="4636" max="4637" width="3.6640625" style="4" customWidth="1"/>
    <col min="4638" max="4638" width="2.33203125" style="4" customWidth="1"/>
    <col min="4639" max="4639" width="3.6640625" style="4" customWidth="1"/>
    <col min="4640" max="4640" width="9.6640625" style="4" customWidth="1"/>
    <col min="4641" max="4650" width="3.6640625" style="4" customWidth="1"/>
    <col min="4651" max="4651" width="11" style="4" customWidth="1"/>
    <col min="4652" max="4654" width="8.88671875" style="4"/>
    <col min="4655" max="4655" width="21" style="4" customWidth="1"/>
    <col min="4656" max="4656" width="24.44140625" style="4" customWidth="1"/>
    <col min="4657" max="4865" width="8.88671875" style="4"/>
    <col min="4866" max="4866" width="3.6640625" style="4" customWidth="1"/>
    <col min="4867" max="4867" width="2.33203125" style="4" customWidth="1"/>
    <col min="4868" max="4869" width="3.6640625" style="4" customWidth="1"/>
    <col min="4870" max="4870" width="2.33203125" style="4" customWidth="1"/>
    <col min="4871" max="4872" width="3.6640625" style="4" customWidth="1"/>
    <col min="4873" max="4873" width="2.33203125" style="4" customWidth="1"/>
    <col min="4874" max="4875" width="3.6640625" style="4" customWidth="1"/>
    <col min="4876" max="4876" width="2.33203125" style="4" customWidth="1"/>
    <col min="4877" max="4878" width="3.6640625" style="4" customWidth="1"/>
    <col min="4879" max="4879" width="2.33203125" style="4" customWidth="1"/>
    <col min="4880" max="4881" width="3.6640625" style="4" customWidth="1"/>
    <col min="4882" max="4882" width="2.33203125" style="4" customWidth="1"/>
    <col min="4883" max="4884" width="3.6640625" style="4" customWidth="1"/>
    <col min="4885" max="4885" width="2.33203125" style="4" customWidth="1"/>
    <col min="4886" max="4887" width="3.6640625" style="4" customWidth="1"/>
    <col min="4888" max="4888" width="2.33203125" style="4" customWidth="1"/>
    <col min="4889" max="4890" width="3.6640625" style="4" customWidth="1"/>
    <col min="4891" max="4891" width="2.33203125" style="4" customWidth="1"/>
    <col min="4892" max="4893" width="3.6640625" style="4" customWidth="1"/>
    <col min="4894" max="4894" width="2.33203125" style="4" customWidth="1"/>
    <col min="4895" max="4895" width="3.6640625" style="4" customWidth="1"/>
    <col min="4896" max="4896" width="9.6640625" style="4" customWidth="1"/>
    <col min="4897" max="4906" width="3.6640625" style="4" customWidth="1"/>
    <col min="4907" max="4907" width="11" style="4" customWidth="1"/>
    <col min="4908" max="4910" width="8.88671875" style="4"/>
    <col min="4911" max="4911" width="21" style="4" customWidth="1"/>
    <col min="4912" max="4912" width="24.44140625" style="4" customWidth="1"/>
    <col min="4913" max="5121" width="8.88671875" style="4"/>
    <col min="5122" max="5122" width="3.6640625" style="4" customWidth="1"/>
    <col min="5123" max="5123" width="2.33203125" style="4" customWidth="1"/>
    <col min="5124" max="5125" width="3.6640625" style="4" customWidth="1"/>
    <col min="5126" max="5126" width="2.33203125" style="4" customWidth="1"/>
    <col min="5127" max="5128" width="3.6640625" style="4" customWidth="1"/>
    <col min="5129" max="5129" width="2.33203125" style="4" customWidth="1"/>
    <col min="5130" max="5131" width="3.6640625" style="4" customWidth="1"/>
    <col min="5132" max="5132" width="2.33203125" style="4" customWidth="1"/>
    <col min="5133" max="5134" width="3.6640625" style="4" customWidth="1"/>
    <col min="5135" max="5135" width="2.33203125" style="4" customWidth="1"/>
    <col min="5136" max="5137" width="3.6640625" style="4" customWidth="1"/>
    <col min="5138" max="5138" width="2.33203125" style="4" customWidth="1"/>
    <col min="5139" max="5140" width="3.6640625" style="4" customWidth="1"/>
    <col min="5141" max="5141" width="2.33203125" style="4" customWidth="1"/>
    <col min="5142" max="5143" width="3.6640625" style="4" customWidth="1"/>
    <col min="5144" max="5144" width="2.33203125" style="4" customWidth="1"/>
    <col min="5145" max="5146" width="3.6640625" style="4" customWidth="1"/>
    <col min="5147" max="5147" width="2.33203125" style="4" customWidth="1"/>
    <col min="5148" max="5149" width="3.6640625" style="4" customWidth="1"/>
    <col min="5150" max="5150" width="2.33203125" style="4" customWidth="1"/>
    <col min="5151" max="5151" width="3.6640625" style="4" customWidth="1"/>
    <col min="5152" max="5152" width="9.6640625" style="4" customWidth="1"/>
    <col min="5153" max="5162" width="3.6640625" style="4" customWidth="1"/>
    <col min="5163" max="5163" width="11" style="4" customWidth="1"/>
    <col min="5164" max="5166" width="8.88671875" style="4"/>
    <col min="5167" max="5167" width="21" style="4" customWidth="1"/>
    <col min="5168" max="5168" width="24.44140625" style="4" customWidth="1"/>
    <col min="5169" max="5377" width="8.88671875" style="4"/>
    <col min="5378" max="5378" width="3.6640625" style="4" customWidth="1"/>
    <col min="5379" max="5379" width="2.33203125" style="4" customWidth="1"/>
    <col min="5380" max="5381" width="3.6640625" style="4" customWidth="1"/>
    <col min="5382" max="5382" width="2.33203125" style="4" customWidth="1"/>
    <col min="5383" max="5384" width="3.6640625" style="4" customWidth="1"/>
    <col min="5385" max="5385" width="2.33203125" style="4" customWidth="1"/>
    <col min="5386" max="5387" width="3.6640625" style="4" customWidth="1"/>
    <col min="5388" max="5388" width="2.33203125" style="4" customWidth="1"/>
    <col min="5389" max="5390" width="3.6640625" style="4" customWidth="1"/>
    <col min="5391" max="5391" width="2.33203125" style="4" customWidth="1"/>
    <col min="5392" max="5393" width="3.6640625" style="4" customWidth="1"/>
    <col min="5394" max="5394" width="2.33203125" style="4" customWidth="1"/>
    <col min="5395" max="5396" width="3.6640625" style="4" customWidth="1"/>
    <col min="5397" max="5397" width="2.33203125" style="4" customWidth="1"/>
    <col min="5398" max="5399" width="3.6640625" style="4" customWidth="1"/>
    <col min="5400" max="5400" width="2.33203125" style="4" customWidth="1"/>
    <col min="5401" max="5402" width="3.6640625" style="4" customWidth="1"/>
    <col min="5403" max="5403" width="2.33203125" style="4" customWidth="1"/>
    <col min="5404" max="5405" width="3.6640625" style="4" customWidth="1"/>
    <col min="5406" max="5406" width="2.33203125" style="4" customWidth="1"/>
    <col min="5407" max="5407" width="3.6640625" style="4" customWidth="1"/>
    <col min="5408" max="5408" width="9.6640625" style="4" customWidth="1"/>
    <col min="5409" max="5418" width="3.6640625" style="4" customWidth="1"/>
    <col min="5419" max="5419" width="11" style="4" customWidth="1"/>
    <col min="5420" max="5422" width="8.88671875" style="4"/>
    <col min="5423" max="5423" width="21" style="4" customWidth="1"/>
    <col min="5424" max="5424" width="24.44140625" style="4" customWidth="1"/>
    <col min="5425" max="5633" width="8.88671875" style="4"/>
    <col min="5634" max="5634" width="3.6640625" style="4" customWidth="1"/>
    <col min="5635" max="5635" width="2.33203125" style="4" customWidth="1"/>
    <col min="5636" max="5637" width="3.6640625" style="4" customWidth="1"/>
    <col min="5638" max="5638" width="2.33203125" style="4" customWidth="1"/>
    <col min="5639" max="5640" width="3.6640625" style="4" customWidth="1"/>
    <col min="5641" max="5641" width="2.33203125" style="4" customWidth="1"/>
    <col min="5642" max="5643" width="3.6640625" style="4" customWidth="1"/>
    <col min="5644" max="5644" width="2.33203125" style="4" customWidth="1"/>
    <col min="5645" max="5646" width="3.6640625" style="4" customWidth="1"/>
    <col min="5647" max="5647" width="2.33203125" style="4" customWidth="1"/>
    <col min="5648" max="5649" width="3.6640625" style="4" customWidth="1"/>
    <col min="5650" max="5650" width="2.33203125" style="4" customWidth="1"/>
    <col min="5651" max="5652" width="3.6640625" style="4" customWidth="1"/>
    <col min="5653" max="5653" width="2.33203125" style="4" customWidth="1"/>
    <col min="5654" max="5655" width="3.6640625" style="4" customWidth="1"/>
    <col min="5656" max="5656" width="2.33203125" style="4" customWidth="1"/>
    <col min="5657" max="5658" width="3.6640625" style="4" customWidth="1"/>
    <col min="5659" max="5659" width="2.33203125" style="4" customWidth="1"/>
    <col min="5660" max="5661" width="3.6640625" style="4" customWidth="1"/>
    <col min="5662" max="5662" width="2.33203125" style="4" customWidth="1"/>
    <col min="5663" max="5663" width="3.6640625" style="4" customWidth="1"/>
    <col min="5664" max="5664" width="9.6640625" style="4" customWidth="1"/>
    <col min="5665" max="5674" width="3.6640625" style="4" customWidth="1"/>
    <col min="5675" max="5675" width="11" style="4" customWidth="1"/>
    <col min="5676" max="5678" width="8.88671875" style="4"/>
    <col min="5679" max="5679" width="21" style="4" customWidth="1"/>
    <col min="5680" max="5680" width="24.44140625" style="4" customWidth="1"/>
    <col min="5681" max="5889" width="8.88671875" style="4"/>
    <col min="5890" max="5890" width="3.6640625" style="4" customWidth="1"/>
    <col min="5891" max="5891" width="2.33203125" style="4" customWidth="1"/>
    <col min="5892" max="5893" width="3.6640625" style="4" customWidth="1"/>
    <col min="5894" max="5894" width="2.33203125" style="4" customWidth="1"/>
    <col min="5895" max="5896" width="3.6640625" style="4" customWidth="1"/>
    <col min="5897" max="5897" width="2.33203125" style="4" customWidth="1"/>
    <col min="5898" max="5899" width="3.6640625" style="4" customWidth="1"/>
    <col min="5900" max="5900" width="2.33203125" style="4" customWidth="1"/>
    <col min="5901" max="5902" width="3.6640625" style="4" customWidth="1"/>
    <col min="5903" max="5903" width="2.33203125" style="4" customWidth="1"/>
    <col min="5904" max="5905" width="3.6640625" style="4" customWidth="1"/>
    <col min="5906" max="5906" width="2.33203125" style="4" customWidth="1"/>
    <col min="5907" max="5908" width="3.6640625" style="4" customWidth="1"/>
    <col min="5909" max="5909" width="2.33203125" style="4" customWidth="1"/>
    <col min="5910" max="5911" width="3.6640625" style="4" customWidth="1"/>
    <col min="5912" max="5912" width="2.33203125" style="4" customWidth="1"/>
    <col min="5913" max="5914" width="3.6640625" style="4" customWidth="1"/>
    <col min="5915" max="5915" width="2.33203125" style="4" customWidth="1"/>
    <col min="5916" max="5917" width="3.6640625" style="4" customWidth="1"/>
    <col min="5918" max="5918" width="2.33203125" style="4" customWidth="1"/>
    <col min="5919" max="5919" width="3.6640625" style="4" customWidth="1"/>
    <col min="5920" max="5920" width="9.6640625" style="4" customWidth="1"/>
    <col min="5921" max="5930" width="3.6640625" style="4" customWidth="1"/>
    <col min="5931" max="5931" width="11" style="4" customWidth="1"/>
    <col min="5932" max="5934" width="8.88671875" style="4"/>
    <col min="5935" max="5935" width="21" style="4" customWidth="1"/>
    <col min="5936" max="5936" width="24.44140625" style="4" customWidth="1"/>
    <col min="5937" max="6145" width="8.88671875" style="4"/>
    <col min="6146" max="6146" width="3.6640625" style="4" customWidth="1"/>
    <col min="6147" max="6147" width="2.33203125" style="4" customWidth="1"/>
    <col min="6148" max="6149" width="3.6640625" style="4" customWidth="1"/>
    <col min="6150" max="6150" width="2.33203125" style="4" customWidth="1"/>
    <col min="6151" max="6152" width="3.6640625" style="4" customWidth="1"/>
    <col min="6153" max="6153" width="2.33203125" style="4" customWidth="1"/>
    <col min="6154" max="6155" width="3.6640625" style="4" customWidth="1"/>
    <col min="6156" max="6156" width="2.33203125" style="4" customWidth="1"/>
    <col min="6157" max="6158" width="3.6640625" style="4" customWidth="1"/>
    <col min="6159" max="6159" width="2.33203125" style="4" customWidth="1"/>
    <col min="6160" max="6161" width="3.6640625" style="4" customWidth="1"/>
    <col min="6162" max="6162" width="2.33203125" style="4" customWidth="1"/>
    <col min="6163" max="6164" width="3.6640625" style="4" customWidth="1"/>
    <col min="6165" max="6165" width="2.33203125" style="4" customWidth="1"/>
    <col min="6166" max="6167" width="3.6640625" style="4" customWidth="1"/>
    <col min="6168" max="6168" width="2.33203125" style="4" customWidth="1"/>
    <col min="6169" max="6170" width="3.6640625" style="4" customWidth="1"/>
    <col min="6171" max="6171" width="2.33203125" style="4" customWidth="1"/>
    <col min="6172" max="6173" width="3.6640625" style="4" customWidth="1"/>
    <col min="6174" max="6174" width="2.33203125" style="4" customWidth="1"/>
    <col min="6175" max="6175" width="3.6640625" style="4" customWidth="1"/>
    <col min="6176" max="6176" width="9.6640625" style="4" customWidth="1"/>
    <col min="6177" max="6186" width="3.6640625" style="4" customWidth="1"/>
    <col min="6187" max="6187" width="11" style="4" customWidth="1"/>
    <col min="6188" max="6190" width="8.88671875" style="4"/>
    <col min="6191" max="6191" width="21" style="4" customWidth="1"/>
    <col min="6192" max="6192" width="24.44140625" style="4" customWidth="1"/>
    <col min="6193" max="6401" width="8.88671875" style="4"/>
    <col min="6402" max="6402" width="3.6640625" style="4" customWidth="1"/>
    <col min="6403" max="6403" width="2.33203125" style="4" customWidth="1"/>
    <col min="6404" max="6405" width="3.6640625" style="4" customWidth="1"/>
    <col min="6406" max="6406" width="2.33203125" style="4" customWidth="1"/>
    <col min="6407" max="6408" width="3.6640625" style="4" customWidth="1"/>
    <col min="6409" max="6409" width="2.33203125" style="4" customWidth="1"/>
    <col min="6410" max="6411" width="3.6640625" style="4" customWidth="1"/>
    <col min="6412" max="6412" width="2.33203125" style="4" customWidth="1"/>
    <col min="6413" max="6414" width="3.6640625" style="4" customWidth="1"/>
    <col min="6415" max="6415" width="2.33203125" style="4" customWidth="1"/>
    <col min="6416" max="6417" width="3.6640625" style="4" customWidth="1"/>
    <col min="6418" max="6418" width="2.33203125" style="4" customWidth="1"/>
    <col min="6419" max="6420" width="3.6640625" style="4" customWidth="1"/>
    <col min="6421" max="6421" width="2.33203125" style="4" customWidth="1"/>
    <col min="6422" max="6423" width="3.6640625" style="4" customWidth="1"/>
    <col min="6424" max="6424" width="2.33203125" style="4" customWidth="1"/>
    <col min="6425" max="6426" width="3.6640625" style="4" customWidth="1"/>
    <col min="6427" max="6427" width="2.33203125" style="4" customWidth="1"/>
    <col min="6428" max="6429" width="3.6640625" style="4" customWidth="1"/>
    <col min="6430" max="6430" width="2.33203125" style="4" customWidth="1"/>
    <col min="6431" max="6431" width="3.6640625" style="4" customWidth="1"/>
    <col min="6432" max="6432" width="9.6640625" style="4" customWidth="1"/>
    <col min="6433" max="6442" width="3.6640625" style="4" customWidth="1"/>
    <col min="6443" max="6443" width="11" style="4" customWidth="1"/>
    <col min="6444" max="6446" width="8.88671875" style="4"/>
    <col min="6447" max="6447" width="21" style="4" customWidth="1"/>
    <col min="6448" max="6448" width="24.44140625" style="4" customWidth="1"/>
    <col min="6449" max="6657" width="8.88671875" style="4"/>
    <col min="6658" max="6658" width="3.6640625" style="4" customWidth="1"/>
    <col min="6659" max="6659" width="2.33203125" style="4" customWidth="1"/>
    <col min="6660" max="6661" width="3.6640625" style="4" customWidth="1"/>
    <col min="6662" max="6662" width="2.33203125" style="4" customWidth="1"/>
    <col min="6663" max="6664" width="3.6640625" style="4" customWidth="1"/>
    <col min="6665" max="6665" width="2.33203125" style="4" customWidth="1"/>
    <col min="6666" max="6667" width="3.6640625" style="4" customWidth="1"/>
    <col min="6668" max="6668" width="2.33203125" style="4" customWidth="1"/>
    <col min="6669" max="6670" width="3.6640625" style="4" customWidth="1"/>
    <col min="6671" max="6671" width="2.33203125" style="4" customWidth="1"/>
    <col min="6672" max="6673" width="3.6640625" style="4" customWidth="1"/>
    <col min="6674" max="6674" width="2.33203125" style="4" customWidth="1"/>
    <col min="6675" max="6676" width="3.6640625" style="4" customWidth="1"/>
    <col min="6677" max="6677" width="2.33203125" style="4" customWidth="1"/>
    <col min="6678" max="6679" width="3.6640625" style="4" customWidth="1"/>
    <col min="6680" max="6680" width="2.33203125" style="4" customWidth="1"/>
    <col min="6681" max="6682" width="3.6640625" style="4" customWidth="1"/>
    <col min="6683" max="6683" width="2.33203125" style="4" customWidth="1"/>
    <col min="6684" max="6685" width="3.6640625" style="4" customWidth="1"/>
    <col min="6686" max="6686" width="2.33203125" style="4" customWidth="1"/>
    <col min="6687" max="6687" width="3.6640625" style="4" customWidth="1"/>
    <col min="6688" max="6688" width="9.6640625" style="4" customWidth="1"/>
    <col min="6689" max="6698" width="3.6640625" style="4" customWidth="1"/>
    <col min="6699" max="6699" width="11" style="4" customWidth="1"/>
    <col min="6700" max="6702" width="8.88671875" style="4"/>
    <col min="6703" max="6703" width="21" style="4" customWidth="1"/>
    <col min="6704" max="6704" width="24.44140625" style="4" customWidth="1"/>
    <col min="6705" max="6913" width="8.88671875" style="4"/>
    <col min="6914" max="6914" width="3.6640625" style="4" customWidth="1"/>
    <col min="6915" max="6915" width="2.33203125" style="4" customWidth="1"/>
    <col min="6916" max="6917" width="3.6640625" style="4" customWidth="1"/>
    <col min="6918" max="6918" width="2.33203125" style="4" customWidth="1"/>
    <col min="6919" max="6920" width="3.6640625" style="4" customWidth="1"/>
    <col min="6921" max="6921" width="2.33203125" style="4" customWidth="1"/>
    <col min="6922" max="6923" width="3.6640625" style="4" customWidth="1"/>
    <col min="6924" max="6924" width="2.33203125" style="4" customWidth="1"/>
    <col min="6925" max="6926" width="3.6640625" style="4" customWidth="1"/>
    <col min="6927" max="6927" width="2.33203125" style="4" customWidth="1"/>
    <col min="6928" max="6929" width="3.6640625" style="4" customWidth="1"/>
    <col min="6930" max="6930" width="2.33203125" style="4" customWidth="1"/>
    <col min="6931" max="6932" width="3.6640625" style="4" customWidth="1"/>
    <col min="6933" max="6933" width="2.33203125" style="4" customWidth="1"/>
    <col min="6934" max="6935" width="3.6640625" style="4" customWidth="1"/>
    <col min="6936" max="6936" width="2.33203125" style="4" customWidth="1"/>
    <col min="6937" max="6938" width="3.6640625" style="4" customWidth="1"/>
    <col min="6939" max="6939" width="2.33203125" style="4" customWidth="1"/>
    <col min="6940" max="6941" width="3.6640625" style="4" customWidth="1"/>
    <col min="6942" max="6942" width="2.33203125" style="4" customWidth="1"/>
    <col min="6943" max="6943" width="3.6640625" style="4" customWidth="1"/>
    <col min="6944" max="6944" width="9.6640625" style="4" customWidth="1"/>
    <col min="6945" max="6954" width="3.6640625" style="4" customWidth="1"/>
    <col min="6955" max="6955" width="11" style="4" customWidth="1"/>
    <col min="6956" max="6958" width="8.88671875" style="4"/>
    <col min="6959" max="6959" width="21" style="4" customWidth="1"/>
    <col min="6960" max="6960" width="24.44140625" style="4" customWidth="1"/>
    <col min="6961" max="7169" width="8.88671875" style="4"/>
    <col min="7170" max="7170" width="3.6640625" style="4" customWidth="1"/>
    <col min="7171" max="7171" width="2.33203125" style="4" customWidth="1"/>
    <col min="7172" max="7173" width="3.6640625" style="4" customWidth="1"/>
    <col min="7174" max="7174" width="2.33203125" style="4" customWidth="1"/>
    <col min="7175" max="7176" width="3.6640625" style="4" customWidth="1"/>
    <col min="7177" max="7177" width="2.33203125" style="4" customWidth="1"/>
    <col min="7178" max="7179" width="3.6640625" style="4" customWidth="1"/>
    <col min="7180" max="7180" width="2.33203125" style="4" customWidth="1"/>
    <col min="7181" max="7182" width="3.6640625" style="4" customWidth="1"/>
    <col min="7183" max="7183" width="2.33203125" style="4" customWidth="1"/>
    <col min="7184" max="7185" width="3.6640625" style="4" customWidth="1"/>
    <col min="7186" max="7186" width="2.33203125" style="4" customWidth="1"/>
    <col min="7187" max="7188" width="3.6640625" style="4" customWidth="1"/>
    <col min="7189" max="7189" width="2.33203125" style="4" customWidth="1"/>
    <col min="7190" max="7191" width="3.6640625" style="4" customWidth="1"/>
    <col min="7192" max="7192" width="2.33203125" style="4" customWidth="1"/>
    <col min="7193" max="7194" width="3.6640625" style="4" customWidth="1"/>
    <col min="7195" max="7195" width="2.33203125" style="4" customWidth="1"/>
    <col min="7196" max="7197" width="3.6640625" style="4" customWidth="1"/>
    <col min="7198" max="7198" width="2.33203125" style="4" customWidth="1"/>
    <col min="7199" max="7199" width="3.6640625" style="4" customWidth="1"/>
    <col min="7200" max="7200" width="9.6640625" style="4" customWidth="1"/>
    <col min="7201" max="7210" width="3.6640625" style="4" customWidth="1"/>
    <col min="7211" max="7211" width="11" style="4" customWidth="1"/>
    <col min="7212" max="7214" width="8.88671875" style="4"/>
    <col min="7215" max="7215" width="21" style="4" customWidth="1"/>
    <col min="7216" max="7216" width="24.44140625" style="4" customWidth="1"/>
    <col min="7217" max="7425" width="8.88671875" style="4"/>
    <col min="7426" max="7426" width="3.6640625" style="4" customWidth="1"/>
    <col min="7427" max="7427" width="2.33203125" style="4" customWidth="1"/>
    <col min="7428" max="7429" width="3.6640625" style="4" customWidth="1"/>
    <col min="7430" max="7430" width="2.33203125" style="4" customWidth="1"/>
    <col min="7431" max="7432" width="3.6640625" style="4" customWidth="1"/>
    <col min="7433" max="7433" width="2.33203125" style="4" customWidth="1"/>
    <col min="7434" max="7435" width="3.6640625" style="4" customWidth="1"/>
    <col min="7436" max="7436" width="2.33203125" style="4" customWidth="1"/>
    <col min="7437" max="7438" width="3.6640625" style="4" customWidth="1"/>
    <col min="7439" max="7439" width="2.33203125" style="4" customWidth="1"/>
    <col min="7440" max="7441" width="3.6640625" style="4" customWidth="1"/>
    <col min="7442" max="7442" width="2.33203125" style="4" customWidth="1"/>
    <col min="7443" max="7444" width="3.6640625" style="4" customWidth="1"/>
    <col min="7445" max="7445" width="2.33203125" style="4" customWidth="1"/>
    <col min="7446" max="7447" width="3.6640625" style="4" customWidth="1"/>
    <col min="7448" max="7448" width="2.33203125" style="4" customWidth="1"/>
    <col min="7449" max="7450" width="3.6640625" style="4" customWidth="1"/>
    <col min="7451" max="7451" width="2.33203125" style="4" customWidth="1"/>
    <col min="7452" max="7453" width="3.6640625" style="4" customWidth="1"/>
    <col min="7454" max="7454" width="2.33203125" style="4" customWidth="1"/>
    <col min="7455" max="7455" width="3.6640625" style="4" customWidth="1"/>
    <col min="7456" max="7456" width="9.6640625" style="4" customWidth="1"/>
    <col min="7457" max="7466" width="3.6640625" style="4" customWidth="1"/>
    <col min="7467" max="7467" width="11" style="4" customWidth="1"/>
    <col min="7468" max="7470" width="8.88671875" style="4"/>
    <col min="7471" max="7471" width="21" style="4" customWidth="1"/>
    <col min="7472" max="7472" width="24.44140625" style="4" customWidth="1"/>
    <col min="7473" max="7681" width="8.88671875" style="4"/>
    <col min="7682" max="7682" width="3.6640625" style="4" customWidth="1"/>
    <col min="7683" max="7683" width="2.33203125" style="4" customWidth="1"/>
    <col min="7684" max="7685" width="3.6640625" style="4" customWidth="1"/>
    <col min="7686" max="7686" width="2.33203125" style="4" customWidth="1"/>
    <col min="7687" max="7688" width="3.6640625" style="4" customWidth="1"/>
    <col min="7689" max="7689" width="2.33203125" style="4" customWidth="1"/>
    <col min="7690" max="7691" width="3.6640625" style="4" customWidth="1"/>
    <col min="7692" max="7692" width="2.33203125" style="4" customWidth="1"/>
    <col min="7693" max="7694" width="3.6640625" style="4" customWidth="1"/>
    <col min="7695" max="7695" width="2.33203125" style="4" customWidth="1"/>
    <col min="7696" max="7697" width="3.6640625" style="4" customWidth="1"/>
    <col min="7698" max="7698" width="2.33203125" style="4" customWidth="1"/>
    <col min="7699" max="7700" width="3.6640625" style="4" customWidth="1"/>
    <col min="7701" max="7701" width="2.33203125" style="4" customWidth="1"/>
    <col min="7702" max="7703" width="3.6640625" style="4" customWidth="1"/>
    <col min="7704" max="7704" width="2.33203125" style="4" customWidth="1"/>
    <col min="7705" max="7706" width="3.6640625" style="4" customWidth="1"/>
    <col min="7707" max="7707" width="2.33203125" style="4" customWidth="1"/>
    <col min="7708" max="7709" width="3.6640625" style="4" customWidth="1"/>
    <col min="7710" max="7710" width="2.33203125" style="4" customWidth="1"/>
    <col min="7711" max="7711" width="3.6640625" style="4" customWidth="1"/>
    <col min="7712" max="7712" width="9.6640625" style="4" customWidth="1"/>
    <col min="7713" max="7722" width="3.6640625" style="4" customWidth="1"/>
    <col min="7723" max="7723" width="11" style="4" customWidth="1"/>
    <col min="7724" max="7726" width="8.88671875" style="4"/>
    <col min="7727" max="7727" width="21" style="4" customWidth="1"/>
    <col min="7728" max="7728" width="24.44140625" style="4" customWidth="1"/>
    <col min="7729" max="7937" width="8.88671875" style="4"/>
    <col min="7938" max="7938" width="3.6640625" style="4" customWidth="1"/>
    <col min="7939" max="7939" width="2.33203125" style="4" customWidth="1"/>
    <col min="7940" max="7941" width="3.6640625" style="4" customWidth="1"/>
    <col min="7942" max="7942" width="2.33203125" style="4" customWidth="1"/>
    <col min="7943" max="7944" width="3.6640625" style="4" customWidth="1"/>
    <col min="7945" max="7945" width="2.33203125" style="4" customWidth="1"/>
    <col min="7946" max="7947" width="3.6640625" style="4" customWidth="1"/>
    <col min="7948" max="7948" width="2.33203125" style="4" customWidth="1"/>
    <col min="7949" max="7950" width="3.6640625" style="4" customWidth="1"/>
    <col min="7951" max="7951" width="2.33203125" style="4" customWidth="1"/>
    <col min="7952" max="7953" width="3.6640625" style="4" customWidth="1"/>
    <col min="7954" max="7954" width="2.33203125" style="4" customWidth="1"/>
    <col min="7955" max="7956" width="3.6640625" style="4" customWidth="1"/>
    <col min="7957" max="7957" width="2.33203125" style="4" customWidth="1"/>
    <col min="7958" max="7959" width="3.6640625" style="4" customWidth="1"/>
    <col min="7960" max="7960" width="2.33203125" style="4" customWidth="1"/>
    <col min="7961" max="7962" width="3.6640625" style="4" customWidth="1"/>
    <col min="7963" max="7963" width="2.33203125" style="4" customWidth="1"/>
    <col min="7964" max="7965" width="3.6640625" style="4" customWidth="1"/>
    <col min="7966" max="7966" width="2.33203125" style="4" customWidth="1"/>
    <col min="7967" max="7967" width="3.6640625" style="4" customWidth="1"/>
    <col min="7968" max="7968" width="9.6640625" style="4" customWidth="1"/>
    <col min="7969" max="7978" width="3.6640625" style="4" customWidth="1"/>
    <col min="7979" max="7979" width="11" style="4" customWidth="1"/>
    <col min="7980" max="7982" width="8.88671875" style="4"/>
    <col min="7983" max="7983" width="21" style="4" customWidth="1"/>
    <col min="7984" max="7984" width="24.44140625" style="4" customWidth="1"/>
    <col min="7985" max="8193" width="8.88671875" style="4"/>
    <col min="8194" max="8194" width="3.6640625" style="4" customWidth="1"/>
    <col min="8195" max="8195" width="2.33203125" style="4" customWidth="1"/>
    <col min="8196" max="8197" width="3.6640625" style="4" customWidth="1"/>
    <col min="8198" max="8198" width="2.33203125" style="4" customWidth="1"/>
    <col min="8199" max="8200" width="3.6640625" style="4" customWidth="1"/>
    <col min="8201" max="8201" width="2.33203125" style="4" customWidth="1"/>
    <col min="8202" max="8203" width="3.6640625" style="4" customWidth="1"/>
    <col min="8204" max="8204" width="2.33203125" style="4" customWidth="1"/>
    <col min="8205" max="8206" width="3.6640625" style="4" customWidth="1"/>
    <col min="8207" max="8207" width="2.33203125" style="4" customWidth="1"/>
    <col min="8208" max="8209" width="3.6640625" style="4" customWidth="1"/>
    <col min="8210" max="8210" width="2.33203125" style="4" customWidth="1"/>
    <col min="8211" max="8212" width="3.6640625" style="4" customWidth="1"/>
    <col min="8213" max="8213" width="2.33203125" style="4" customWidth="1"/>
    <col min="8214" max="8215" width="3.6640625" style="4" customWidth="1"/>
    <col min="8216" max="8216" width="2.33203125" style="4" customWidth="1"/>
    <col min="8217" max="8218" width="3.6640625" style="4" customWidth="1"/>
    <col min="8219" max="8219" width="2.33203125" style="4" customWidth="1"/>
    <col min="8220" max="8221" width="3.6640625" style="4" customWidth="1"/>
    <col min="8222" max="8222" width="2.33203125" style="4" customWidth="1"/>
    <col min="8223" max="8223" width="3.6640625" style="4" customWidth="1"/>
    <col min="8224" max="8224" width="9.6640625" style="4" customWidth="1"/>
    <col min="8225" max="8234" width="3.6640625" style="4" customWidth="1"/>
    <col min="8235" max="8235" width="11" style="4" customWidth="1"/>
    <col min="8236" max="8238" width="8.88671875" style="4"/>
    <col min="8239" max="8239" width="21" style="4" customWidth="1"/>
    <col min="8240" max="8240" width="24.44140625" style="4" customWidth="1"/>
    <col min="8241" max="8449" width="8.88671875" style="4"/>
    <col min="8450" max="8450" width="3.6640625" style="4" customWidth="1"/>
    <col min="8451" max="8451" width="2.33203125" style="4" customWidth="1"/>
    <col min="8452" max="8453" width="3.6640625" style="4" customWidth="1"/>
    <col min="8454" max="8454" width="2.33203125" style="4" customWidth="1"/>
    <col min="8455" max="8456" width="3.6640625" style="4" customWidth="1"/>
    <col min="8457" max="8457" width="2.33203125" style="4" customWidth="1"/>
    <col min="8458" max="8459" width="3.6640625" style="4" customWidth="1"/>
    <col min="8460" max="8460" width="2.33203125" style="4" customWidth="1"/>
    <col min="8461" max="8462" width="3.6640625" style="4" customWidth="1"/>
    <col min="8463" max="8463" width="2.33203125" style="4" customWidth="1"/>
    <col min="8464" max="8465" width="3.6640625" style="4" customWidth="1"/>
    <col min="8466" max="8466" width="2.33203125" style="4" customWidth="1"/>
    <col min="8467" max="8468" width="3.6640625" style="4" customWidth="1"/>
    <col min="8469" max="8469" width="2.33203125" style="4" customWidth="1"/>
    <col min="8470" max="8471" width="3.6640625" style="4" customWidth="1"/>
    <col min="8472" max="8472" width="2.33203125" style="4" customWidth="1"/>
    <col min="8473" max="8474" width="3.6640625" style="4" customWidth="1"/>
    <col min="8475" max="8475" width="2.33203125" style="4" customWidth="1"/>
    <col min="8476" max="8477" width="3.6640625" style="4" customWidth="1"/>
    <col min="8478" max="8478" width="2.33203125" style="4" customWidth="1"/>
    <col min="8479" max="8479" width="3.6640625" style="4" customWidth="1"/>
    <col min="8480" max="8480" width="9.6640625" style="4" customWidth="1"/>
    <col min="8481" max="8490" width="3.6640625" style="4" customWidth="1"/>
    <col min="8491" max="8491" width="11" style="4" customWidth="1"/>
    <col min="8492" max="8494" width="8.88671875" style="4"/>
    <col min="8495" max="8495" width="21" style="4" customWidth="1"/>
    <col min="8496" max="8496" width="24.44140625" style="4" customWidth="1"/>
    <col min="8497" max="8705" width="8.88671875" style="4"/>
    <col min="8706" max="8706" width="3.6640625" style="4" customWidth="1"/>
    <col min="8707" max="8707" width="2.33203125" style="4" customWidth="1"/>
    <col min="8708" max="8709" width="3.6640625" style="4" customWidth="1"/>
    <col min="8710" max="8710" width="2.33203125" style="4" customWidth="1"/>
    <col min="8711" max="8712" width="3.6640625" style="4" customWidth="1"/>
    <col min="8713" max="8713" width="2.33203125" style="4" customWidth="1"/>
    <col min="8714" max="8715" width="3.6640625" style="4" customWidth="1"/>
    <col min="8716" max="8716" width="2.33203125" style="4" customWidth="1"/>
    <col min="8717" max="8718" width="3.6640625" style="4" customWidth="1"/>
    <col min="8719" max="8719" width="2.33203125" style="4" customWidth="1"/>
    <col min="8720" max="8721" width="3.6640625" style="4" customWidth="1"/>
    <col min="8722" max="8722" width="2.33203125" style="4" customWidth="1"/>
    <col min="8723" max="8724" width="3.6640625" style="4" customWidth="1"/>
    <col min="8725" max="8725" width="2.33203125" style="4" customWidth="1"/>
    <col min="8726" max="8727" width="3.6640625" style="4" customWidth="1"/>
    <col min="8728" max="8728" width="2.33203125" style="4" customWidth="1"/>
    <col min="8729" max="8730" width="3.6640625" style="4" customWidth="1"/>
    <col min="8731" max="8731" width="2.33203125" style="4" customWidth="1"/>
    <col min="8732" max="8733" width="3.6640625" style="4" customWidth="1"/>
    <col min="8734" max="8734" width="2.33203125" style="4" customWidth="1"/>
    <col min="8735" max="8735" width="3.6640625" style="4" customWidth="1"/>
    <col min="8736" max="8736" width="9.6640625" style="4" customWidth="1"/>
    <col min="8737" max="8746" width="3.6640625" style="4" customWidth="1"/>
    <col min="8747" max="8747" width="11" style="4" customWidth="1"/>
    <col min="8748" max="8750" width="8.88671875" style="4"/>
    <col min="8751" max="8751" width="21" style="4" customWidth="1"/>
    <col min="8752" max="8752" width="24.44140625" style="4" customWidth="1"/>
    <col min="8753" max="8961" width="8.88671875" style="4"/>
    <col min="8962" max="8962" width="3.6640625" style="4" customWidth="1"/>
    <col min="8963" max="8963" width="2.33203125" style="4" customWidth="1"/>
    <col min="8964" max="8965" width="3.6640625" style="4" customWidth="1"/>
    <col min="8966" max="8966" width="2.33203125" style="4" customWidth="1"/>
    <col min="8967" max="8968" width="3.6640625" style="4" customWidth="1"/>
    <col min="8969" max="8969" width="2.33203125" style="4" customWidth="1"/>
    <col min="8970" max="8971" width="3.6640625" style="4" customWidth="1"/>
    <col min="8972" max="8972" width="2.33203125" style="4" customWidth="1"/>
    <col min="8973" max="8974" width="3.6640625" style="4" customWidth="1"/>
    <col min="8975" max="8975" width="2.33203125" style="4" customWidth="1"/>
    <col min="8976" max="8977" width="3.6640625" style="4" customWidth="1"/>
    <col min="8978" max="8978" width="2.33203125" style="4" customWidth="1"/>
    <col min="8979" max="8980" width="3.6640625" style="4" customWidth="1"/>
    <col min="8981" max="8981" width="2.33203125" style="4" customWidth="1"/>
    <col min="8982" max="8983" width="3.6640625" style="4" customWidth="1"/>
    <col min="8984" max="8984" width="2.33203125" style="4" customWidth="1"/>
    <col min="8985" max="8986" width="3.6640625" style="4" customWidth="1"/>
    <col min="8987" max="8987" width="2.33203125" style="4" customWidth="1"/>
    <col min="8988" max="8989" width="3.6640625" style="4" customWidth="1"/>
    <col min="8990" max="8990" width="2.33203125" style="4" customWidth="1"/>
    <col min="8991" max="8991" width="3.6640625" style="4" customWidth="1"/>
    <col min="8992" max="8992" width="9.6640625" style="4" customWidth="1"/>
    <col min="8993" max="9002" width="3.6640625" style="4" customWidth="1"/>
    <col min="9003" max="9003" width="11" style="4" customWidth="1"/>
    <col min="9004" max="9006" width="8.88671875" style="4"/>
    <col min="9007" max="9007" width="21" style="4" customWidth="1"/>
    <col min="9008" max="9008" width="24.44140625" style="4" customWidth="1"/>
    <col min="9009" max="9217" width="8.88671875" style="4"/>
    <col min="9218" max="9218" width="3.6640625" style="4" customWidth="1"/>
    <col min="9219" max="9219" width="2.33203125" style="4" customWidth="1"/>
    <col min="9220" max="9221" width="3.6640625" style="4" customWidth="1"/>
    <col min="9222" max="9222" width="2.33203125" style="4" customWidth="1"/>
    <col min="9223" max="9224" width="3.6640625" style="4" customWidth="1"/>
    <col min="9225" max="9225" width="2.33203125" style="4" customWidth="1"/>
    <col min="9226" max="9227" width="3.6640625" style="4" customWidth="1"/>
    <col min="9228" max="9228" width="2.33203125" style="4" customWidth="1"/>
    <col min="9229" max="9230" width="3.6640625" style="4" customWidth="1"/>
    <col min="9231" max="9231" width="2.33203125" style="4" customWidth="1"/>
    <col min="9232" max="9233" width="3.6640625" style="4" customWidth="1"/>
    <col min="9234" max="9234" width="2.33203125" style="4" customWidth="1"/>
    <col min="9235" max="9236" width="3.6640625" style="4" customWidth="1"/>
    <col min="9237" max="9237" width="2.33203125" style="4" customWidth="1"/>
    <col min="9238" max="9239" width="3.6640625" style="4" customWidth="1"/>
    <col min="9240" max="9240" width="2.33203125" style="4" customWidth="1"/>
    <col min="9241" max="9242" width="3.6640625" style="4" customWidth="1"/>
    <col min="9243" max="9243" width="2.33203125" style="4" customWidth="1"/>
    <col min="9244" max="9245" width="3.6640625" style="4" customWidth="1"/>
    <col min="9246" max="9246" width="2.33203125" style="4" customWidth="1"/>
    <col min="9247" max="9247" width="3.6640625" style="4" customWidth="1"/>
    <col min="9248" max="9248" width="9.6640625" style="4" customWidth="1"/>
    <col min="9249" max="9258" width="3.6640625" style="4" customWidth="1"/>
    <col min="9259" max="9259" width="11" style="4" customWidth="1"/>
    <col min="9260" max="9262" width="8.88671875" style="4"/>
    <col min="9263" max="9263" width="21" style="4" customWidth="1"/>
    <col min="9264" max="9264" width="24.44140625" style="4" customWidth="1"/>
    <col min="9265" max="9473" width="8.88671875" style="4"/>
    <col min="9474" max="9474" width="3.6640625" style="4" customWidth="1"/>
    <col min="9475" max="9475" width="2.33203125" style="4" customWidth="1"/>
    <col min="9476" max="9477" width="3.6640625" style="4" customWidth="1"/>
    <col min="9478" max="9478" width="2.33203125" style="4" customWidth="1"/>
    <col min="9479" max="9480" width="3.6640625" style="4" customWidth="1"/>
    <col min="9481" max="9481" width="2.33203125" style="4" customWidth="1"/>
    <col min="9482" max="9483" width="3.6640625" style="4" customWidth="1"/>
    <col min="9484" max="9484" width="2.33203125" style="4" customWidth="1"/>
    <col min="9485" max="9486" width="3.6640625" style="4" customWidth="1"/>
    <col min="9487" max="9487" width="2.33203125" style="4" customWidth="1"/>
    <col min="9488" max="9489" width="3.6640625" style="4" customWidth="1"/>
    <col min="9490" max="9490" width="2.33203125" style="4" customWidth="1"/>
    <col min="9491" max="9492" width="3.6640625" style="4" customWidth="1"/>
    <col min="9493" max="9493" width="2.33203125" style="4" customWidth="1"/>
    <col min="9494" max="9495" width="3.6640625" style="4" customWidth="1"/>
    <col min="9496" max="9496" width="2.33203125" style="4" customWidth="1"/>
    <col min="9497" max="9498" width="3.6640625" style="4" customWidth="1"/>
    <col min="9499" max="9499" width="2.33203125" style="4" customWidth="1"/>
    <col min="9500" max="9501" width="3.6640625" style="4" customWidth="1"/>
    <col min="9502" max="9502" width="2.33203125" style="4" customWidth="1"/>
    <col min="9503" max="9503" width="3.6640625" style="4" customWidth="1"/>
    <col min="9504" max="9504" width="9.6640625" style="4" customWidth="1"/>
    <col min="9505" max="9514" width="3.6640625" style="4" customWidth="1"/>
    <col min="9515" max="9515" width="11" style="4" customWidth="1"/>
    <col min="9516" max="9518" width="8.88671875" style="4"/>
    <col min="9519" max="9519" width="21" style="4" customWidth="1"/>
    <col min="9520" max="9520" width="24.44140625" style="4" customWidth="1"/>
    <col min="9521" max="9729" width="8.88671875" style="4"/>
    <col min="9730" max="9730" width="3.6640625" style="4" customWidth="1"/>
    <col min="9731" max="9731" width="2.33203125" style="4" customWidth="1"/>
    <col min="9732" max="9733" width="3.6640625" style="4" customWidth="1"/>
    <col min="9734" max="9734" width="2.33203125" style="4" customWidth="1"/>
    <col min="9735" max="9736" width="3.6640625" style="4" customWidth="1"/>
    <col min="9737" max="9737" width="2.33203125" style="4" customWidth="1"/>
    <col min="9738" max="9739" width="3.6640625" style="4" customWidth="1"/>
    <col min="9740" max="9740" width="2.33203125" style="4" customWidth="1"/>
    <col min="9741" max="9742" width="3.6640625" style="4" customWidth="1"/>
    <col min="9743" max="9743" width="2.33203125" style="4" customWidth="1"/>
    <col min="9744" max="9745" width="3.6640625" style="4" customWidth="1"/>
    <col min="9746" max="9746" width="2.33203125" style="4" customWidth="1"/>
    <col min="9747" max="9748" width="3.6640625" style="4" customWidth="1"/>
    <col min="9749" max="9749" width="2.33203125" style="4" customWidth="1"/>
    <col min="9750" max="9751" width="3.6640625" style="4" customWidth="1"/>
    <col min="9752" max="9752" width="2.33203125" style="4" customWidth="1"/>
    <col min="9753" max="9754" width="3.6640625" style="4" customWidth="1"/>
    <col min="9755" max="9755" width="2.33203125" style="4" customWidth="1"/>
    <col min="9756" max="9757" width="3.6640625" style="4" customWidth="1"/>
    <col min="9758" max="9758" width="2.33203125" style="4" customWidth="1"/>
    <col min="9759" max="9759" width="3.6640625" style="4" customWidth="1"/>
    <col min="9760" max="9760" width="9.6640625" style="4" customWidth="1"/>
    <col min="9761" max="9770" width="3.6640625" style="4" customWidth="1"/>
    <col min="9771" max="9771" width="11" style="4" customWidth="1"/>
    <col min="9772" max="9774" width="8.88671875" style="4"/>
    <col min="9775" max="9775" width="21" style="4" customWidth="1"/>
    <col min="9776" max="9776" width="24.44140625" style="4" customWidth="1"/>
    <col min="9777" max="9985" width="8.88671875" style="4"/>
    <col min="9986" max="9986" width="3.6640625" style="4" customWidth="1"/>
    <col min="9987" max="9987" width="2.33203125" style="4" customWidth="1"/>
    <col min="9988" max="9989" width="3.6640625" style="4" customWidth="1"/>
    <col min="9990" max="9990" width="2.33203125" style="4" customWidth="1"/>
    <col min="9991" max="9992" width="3.6640625" style="4" customWidth="1"/>
    <col min="9993" max="9993" width="2.33203125" style="4" customWidth="1"/>
    <col min="9994" max="9995" width="3.6640625" style="4" customWidth="1"/>
    <col min="9996" max="9996" width="2.33203125" style="4" customWidth="1"/>
    <col min="9997" max="9998" width="3.6640625" style="4" customWidth="1"/>
    <col min="9999" max="9999" width="2.33203125" style="4" customWidth="1"/>
    <col min="10000" max="10001" width="3.6640625" style="4" customWidth="1"/>
    <col min="10002" max="10002" width="2.33203125" style="4" customWidth="1"/>
    <col min="10003" max="10004" width="3.6640625" style="4" customWidth="1"/>
    <col min="10005" max="10005" width="2.33203125" style="4" customWidth="1"/>
    <col min="10006" max="10007" width="3.6640625" style="4" customWidth="1"/>
    <col min="10008" max="10008" width="2.33203125" style="4" customWidth="1"/>
    <col min="10009" max="10010" width="3.6640625" style="4" customWidth="1"/>
    <col min="10011" max="10011" width="2.33203125" style="4" customWidth="1"/>
    <col min="10012" max="10013" width="3.6640625" style="4" customWidth="1"/>
    <col min="10014" max="10014" width="2.33203125" style="4" customWidth="1"/>
    <col min="10015" max="10015" width="3.6640625" style="4" customWidth="1"/>
    <col min="10016" max="10016" width="9.6640625" style="4" customWidth="1"/>
    <col min="10017" max="10026" width="3.6640625" style="4" customWidth="1"/>
    <col min="10027" max="10027" width="11" style="4" customWidth="1"/>
    <col min="10028" max="10030" width="8.88671875" style="4"/>
    <col min="10031" max="10031" width="21" style="4" customWidth="1"/>
    <col min="10032" max="10032" width="24.44140625" style="4" customWidth="1"/>
    <col min="10033" max="10241" width="8.88671875" style="4"/>
    <col min="10242" max="10242" width="3.6640625" style="4" customWidth="1"/>
    <col min="10243" max="10243" width="2.33203125" style="4" customWidth="1"/>
    <col min="10244" max="10245" width="3.6640625" style="4" customWidth="1"/>
    <col min="10246" max="10246" width="2.33203125" style="4" customWidth="1"/>
    <col min="10247" max="10248" width="3.6640625" style="4" customWidth="1"/>
    <col min="10249" max="10249" width="2.33203125" style="4" customWidth="1"/>
    <col min="10250" max="10251" width="3.6640625" style="4" customWidth="1"/>
    <col min="10252" max="10252" width="2.33203125" style="4" customWidth="1"/>
    <col min="10253" max="10254" width="3.6640625" style="4" customWidth="1"/>
    <col min="10255" max="10255" width="2.33203125" style="4" customWidth="1"/>
    <col min="10256" max="10257" width="3.6640625" style="4" customWidth="1"/>
    <col min="10258" max="10258" width="2.33203125" style="4" customWidth="1"/>
    <col min="10259" max="10260" width="3.6640625" style="4" customWidth="1"/>
    <col min="10261" max="10261" width="2.33203125" style="4" customWidth="1"/>
    <col min="10262" max="10263" width="3.6640625" style="4" customWidth="1"/>
    <col min="10264" max="10264" width="2.33203125" style="4" customWidth="1"/>
    <col min="10265" max="10266" width="3.6640625" style="4" customWidth="1"/>
    <col min="10267" max="10267" width="2.33203125" style="4" customWidth="1"/>
    <col min="10268" max="10269" width="3.6640625" style="4" customWidth="1"/>
    <col min="10270" max="10270" width="2.33203125" style="4" customWidth="1"/>
    <col min="10271" max="10271" width="3.6640625" style="4" customWidth="1"/>
    <col min="10272" max="10272" width="9.6640625" style="4" customWidth="1"/>
    <col min="10273" max="10282" width="3.6640625" style="4" customWidth="1"/>
    <col min="10283" max="10283" width="11" style="4" customWidth="1"/>
    <col min="10284" max="10286" width="8.88671875" style="4"/>
    <col min="10287" max="10287" width="21" style="4" customWidth="1"/>
    <col min="10288" max="10288" width="24.44140625" style="4" customWidth="1"/>
    <col min="10289" max="10497" width="8.88671875" style="4"/>
    <col min="10498" max="10498" width="3.6640625" style="4" customWidth="1"/>
    <col min="10499" max="10499" width="2.33203125" style="4" customWidth="1"/>
    <col min="10500" max="10501" width="3.6640625" style="4" customWidth="1"/>
    <col min="10502" max="10502" width="2.33203125" style="4" customWidth="1"/>
    <col min="10503" max="10504" width="3.6640625" style="4" customWidth="1"/>
    <col min="10505" max="10505" width="2.33203125" style="4" customWidth="1"/>
    <col min="10506" max="10507" width="3.6640625" style="4" customWidth="1"/>
    <col min="10508" max="10508" width="2.33203125" style="4" customWidth="1"/>
    <col min="10509" max="10510" width="3.6640625" style="4" customWidth="1"/>
    <col min="10511" max="10511" width="2.33203125" style="4" customWidth="1"/>
    <col min="10512" max="10513" width="3.6640625" style="4" customWidth="1"/>
    <col min="10514" max="10514" width="2.33203125" style="4" customWidth="1"/>
    <col min="10515" max="10516" width="3.6640625" style="4" customWidth="1"/>
    <col min="10517" max="10517" width="2.33203125" style="4" customWidth="1"/>
    <col min="10518" max="10519" width="3.6640625" style="4" customWidth="1"/>
    <col min="10520" max="10520" width="2.33203125" style="4" customWidth="1"/>
    <col min="10521" max="10522" width="3.6640625" style="4" customWidth="1"/>
    <col min="10523" max="10523" width="2.33203125" style="4" customWidth="1"/>
    <col min="10524" max="10525" width="3.6640625" style="4" customWidth="1"/>
    <col min="10526" max="10526" width="2.33203125" style="4" customWidth="1"/>
    <col min="10527" max="10527" width="3.6640625" style="4" customWidth="1"/>
    <col min="10528" max="10528" width="9.6640625" style="4" customWidth="1"/>
    <col min="10529" max="10538" width="3.6640625" style="4" customWidth="1"/>
    <col min="10539" max="10539" width="11" style="4" customWidth="1"/>
    <col min="10540" max="10542" width="8.88671875" style="4"/>
    <col min="10543" max="10543" width="21" style="4" customWidth="1"/>
    <col min="10544" max="10544" width="24.44140625" style="4" customWidth="1"/>
    <col min="10545" max="10753" width="8.88671875" style="4"/>
    <col min="10754" max="10754" width="3.6640625" style="4" customWidth="1"/>
    <col min="10755" max="10755" width="2.33203125" style="4" customWidth="1"/>
    <col min="10756" max="10757" width="3.6640625" style="4" customWidth="1"/>
    <col min="10758" max="10758" width="2.33203125" style="4" customWidth="1"/>
    <col min="10759" max="10760" width="3.6640625" style="4" customWidth="1"/>
    <col min="10761" max="10761" width="2.33203125" style="4" customWidth="1"/>
    <col min="10762" max="10763" width="3.6640625" style="4" customWidth="1"/>
    <col min="10764" max="10764" width="2.33203125" style="4" customWidth="1"/>
    <col min="10765" max="10766" width="3.6640625" style="4" customWidth="1"/>
    <col min="10767" max="10767" width="2.33203125" style="4" customWidth="1"/>
    <col min="10768" max="10769" width="3.6640625" style="4" customWidth="1"/>
    <col min="10770" max="10770" width="2.33203125" style="4" customWidth="1"/>
    <col min="10771" max="10772" width="3.6640625" style="4" customWidth="1"/>
    <col min="10773" max="10773" width="2.33203125" style="4" customWidth="1"/>
    <col min="10774" max="10775" width="3.6640625" style="4" customWidth="1"/>
    <col min="10776" max="10776" width="2.33203125" style="4" customWidth="1"/>
    <col min="10777" max="10778" width="3.6640625" style="4" customWidth="1"/>
    <col min="10779" max="10779" width="2.33203125" style="4" customWidth="1"/>
    <col min="10780" max="10781" width="3.6640625" style="4" customWidth="1"/>
    <col min="10782" max="10782" width="2.33203125" style="4" customWidth="1"/>
    <col min="10783" max="10783" width="3.6640625" style="4" customWidth="1"/>
    <col min="10784" max="10784" width="9.6640625" style="4" customWidth="1"/>
    <col min="10785" max="10794" width="3.6640625" style="4" customWidth="1"/>
    <col min="10795" max="10795" width="11" style="4" customWidth="1"/>
    <col min="10796" max="10798" width="8.88671875" style="4"/>
    <col min="10799" max="10799" width="21" style="4" customWidth="1"/>
    <col min="10800" max="10800" width="24.44140625" style="4" customWidth="1"/>
    <col min="10801" max="11009" width="8.88671875" style="4"/>
    <col min="11010" max="11010" width="3.6640625" style="4" customWidth="1"/>
    <col min="11011" max="11011" width="2.33203125" style="4" customWidth="1"/>
    <col min="11012" max="11013" width="3.6640625" style="4" customWidth="1"/>
    <col min="11014" max="11014" width="2.33203125" style="4" customWidth="1"/>
    <col min="11015" max="11016" width="3.6640625" style="4" customWidth="1"/>
    <col min="11017" max="11017" width="2.33203125" style="4" customWidth="1"/>
    <col min="11018" max="11019" width="3.6640625" style="4" customWidth="1"/>
    <col min="11020" max="11020" width="2.33203125" style="4" customWidth="1"/>
    <col min="11021" max="11022" width="3.6640625" style="4" customWidth="1"/>
    <col min="11023" max="11023" width="2.33203125" style="4" customWidth="1"/>
    <col min="11024" max="11025" width="3.6640625" style="4" customWidth="1"/>
    <col min="11026" max="11026" width="2.33203125" style="4" customWidth="1"/>
    <col min="11027" max="11028" width="3.6640625" style="4" customWidth="1"/>
    <col min="11029" max="11029" width="2.33203125" style="4" customWidth="1"/>
    <col min="11030" max="11031" width="3.6640625" style="4" customWidth="1"/>
    <col min="11032" max="11032" width="2.33203125" style="4" customWidth="1"/>
    <col min="11033" max="11034" width="3.6640625" style="4" customWidth="1"/>
    <col min="11035" max="11035" width="2.33203125" style="4" customWidth="1"/>
    <col min="11036" max="11037" width="3.6640625" style="4" customWidth="1"/>
    <col min="11038" max="11038" width="2.33203125" style="4" customWidth="1"/>
    <col min="11039" max="11039" width="3.6640625" style="4" customWidth="1"/>
    <col min="11040" max="11040" width="9.6640625" style="4" customWidth="1"/>
    <col min="11041" max="11050" width="3.6640625" style="4" customWidth="1"/>
    <col min="11051" max="11051" width="11" style="4" customWidth="1"/>
    <col min="11052" max="11054" width="8.88671875" style="4"/>
    <col min="11055" max="11055" width="21" style="4" customWidth="1"/>
    <col min="11056" max="11056" width="24.44140625" style="4" customWidth="1"/>
    <col min="11057" max="11265" width="8.88671875" style="4"/>
    <col min="11266" max="11266" width="3.6640625" style="4" customWidth="1"/>
    <col min="11267" max="11267" width="2.33203125" style="4" customWidth="1"/>
    <col min="11268" max="11269" width="3.6640625" style="4" customWidth="1"/>
    <col min="11270" max="11270" width="2.33203125" style="4" customWidth="1"/>
    <col min="11271" max="11272" width="3.6640625" style="4" customWidth="1"/>
    <col min="11273" max="11273" width="2.33203125" style="4" customWidth="1"/>
    <col min="11274" max="11275" width="3.6640625" style="4" customWidth="1"/>
    <col min="11276" max="11276" width="2.33203125" style="4" customWidth="1"/>
    <col min="11277" max="11278" width="3.6640625" style="4" customWidth="1"/>
    <col min="11279" max="11279" width="2.33203125" style="4" customWidth="1"/>
    <col min="11280" max="11281" width="3.6640625" style="4" customWidth="1"/>
    <col min="11282" max="11282" width="2.33203125" style="4" customWidth="1"/>
    <col min="11283" max="11284" width="3.6640625" style="4" customWidth="1"/>
    <col min="11285" max="11285" width="2.33203125" style="4" customWidth="1"/>
    <col min="11286" max="11287" width="3.6640625" style="4" customWidth="1"/>
    <col min="11288" max="11288" width="2.33203125" style="4" customWidth="1"/>
    <col min="11289" max="11290" width="3.6640625" style="4" customWidth="1"/>
    <col min="11291" max="11291" width="2.33203125" style="4" customWidth="1"/>
    <col min="11292" max="11293" width="3.6640625" style="4" customWidth="1"/>
    <col min="11294" max="11294" width="2.33203125" style="4" customWidth="1"/>
    <col min="11295" max="11295" width="3.6640625" style="4" customWidth="1"/>
    <col min="11296" max="11296" width="9.6640625" style="4" customWidth="1"/>
    <col min="11297" max="11306" width="3.6640625" style="4" customWidth="1"/>
    <col min="11307" max="11307" width="11" style="4" customWidth="1"/>
    <col min="11308" max="11310" width="8.88671875" style="4"/>
    <col min="11311" max="11311" width="21" style="4" customWidth="1"/>
    <col min="11312" max="11312" width="24.44140625" style="4" customWidth="1"/>
    <col min="11313" max="11521" width="8.88671875" style="4"/>
    <col min="11522" max="11522" width="3.6640625" style="4" customWidth="1"/>
    <col min="11523" max="11523" width="2.33203125" style="4" customWidth="1"/>
    <col min="11524" max="11525" width="3.6640625" style="4" customWidth="1"/>
    <col min="11526" max="11526" width="2.33203125" style="4" customWidth="1"/>
    <col min="11527" max="11528" width="3.6640625" style="4" customWidth="1"/>
    <col min="11529" max="11529" width="2.33203125" style="4" customWidth="1"/>
    <col min="11530" max="11531" width="3.6640625" style="4" customWidth="1"/>
    <col min="11532" max="11532" width="2.33203125" style="4" customWidth="1"/>
    <col min="11533" max="11534" width="3.6640625" style="4" customWidth="1"/>
    <col min="11535" max="11535" width="2.33203125" style="4" customWidth="1"/>
    <col min="11536" max="11537" width="3.6640625" style="4" customWidth="1"/>
    <col min="11538" max="11538" width="2.33203125" style="4" customWidth="1"/>
    <col min="11539" max="11540" width="3.6640625" style="4" customWidth="1"/>
    <col min="11541" max="11541" width="2.33203125" style="4" customWidth="1"/>
    <col min="11542" max="11543" width="3.6640625" style="4" customWidth="1"/>
    <col min="11544" max="11544" width="2.33203125" style="4" customWidth="1"/>
    <col min="11545" max="11546" width="3.6640625" style="4" customWidth="1"/>
    <col min="11547" max="11547" width="2.33203125" style="4" customWidth="1"/>
    <col min="11548" max="11549" width="3.6640625" style="4" customWidth="1"/>
    <col min="11550" max="11550" width="2.33203125" style="4" customWidth="1"/>
    <col min="11551" max="11551" width="3.6640625" style="4" customWidth="1"/>
    <col min="11552" max="11552" width="9.6640625" style="4" customWidth="1"/>
    <col min="11553" max="11562" width="3.6640625" style="4" customWidth="1"/>
    <col min="11563" max="11563" width="11" style="4" customWidth="1"/>
    <col min="11564" max="11566" width="8.88671875" style="4"/>
    <col min="11567" max="11567" width="21" style="4" customWidth="1"/>
    <col min="11568" max="11568" width="24.44140625" style="4" customWidth="1"/>
    <col min="11569" max="11777" width="8.88671875" style="4"/>
    <col min="11778" max="11778" width="3.6640625" style="4" customWidth="1"/>
    <col min="11779" max="11779" width="2.33203125" style="4" customWidth="1"/>
    <col min="11780" max="11781" width="3.6640625" style="4" customWidth="1"/>
    <col min="11782" max="11782" width="2.33203125" style="4" customWidth="1"/>
    <col min="11783" max="11784" width="3.6640625" style="4" customWidth="1"/>
    <col min="11785" max="11785" width="2.33203125" style="4" customWidth="1"/>
    <col min="11786" max="11787" width="3.6640625" style="4" customWidth="1"/>
    <col min="11788" max="11788" width="2.33203125" style="4" customWidth="1"/>
    <col min="11789" max="11790" width="3.6640625" style="4" customWidth="1"/>
    <col min="11791" max="11791" width="2.33203125" style="4" customWidth="1"/>
    <col min="11792" max="11793" width="3.6640625" style="4" customWidth="1"/>
    <col min="11794" max="11794" width="2.33203125" style="4" customWidth="1"/>
    <col min="11795" max="11796" width="3.6640625" style="4" customWidth="1"/>
    <col min="11797" max="11797" width="2.33203125" style="4" customWidth="1"/>
    <col min="11798" max="11799" width="3.6640625" style="4" customWidth="1"/>
    <col min="11800" max="11800" width="2.33203125" style="4" customWidth="1"/>
    <col min="11801" max="11802" width="3.6640625" style="4" customWidth="1"/>
    <col min="11803" max="11803" width="2.33203125" style="4" customWidth="1"/>
    <col min="11804" max="11805" width="3.6640625" style="4" customWidth="1"/>
    <col min="11806" max="11806" width="2.33203125" style="4" customWidth="1"/>
    <col min="11807" max="11807" width="3.6640625" style="4" customWidth="1"/>
    <col min="11808" max="11808" width="9.6640625" style="4" customWidth="1"/>
    <col min="11809" max="11818" width="3.6640625" style="4" customWidth="1"/>
    <col min="11819" max="11819" width="11" style="4" customWidth="1"/>
    <col min="11820" max="11822" width="8.88671875" style="4"/>
    <col min="11823" max="11823" width="21" style="4" customWidth="1"/>
    <col min="11824" max="11824" width="24.44140625" style="4" customWidth="1"/>
    <col min="11825" max="12033" width="8.88671875" style="4"/>
    <col min="12034" max="12034" width="3.6640625" style="4" customWidth="1"/>
    <col min="12035" max="12035" width="2.33203125" style="4" customWidth="1"/>
    <col min="12036" max="12037" width="3.6640625" style="4" customWidth="1"/>
    <col min="12038" max="12038" width="2.33203125" style="4" customWidth="1"/>
    <col min="12039" max="12040" width="3.6640625" style="4" customWidth="1"/>
    <col min="12041" max="12041" width="2.33203125" style="4" customWidth="1"/>
    <col min="12042" max="12043" width="3.6640625" style="4" customWidth="1"/>
    <col min="12044" max="12044" width="2.33203125" style="4" customWidth="1"/>
    <col min="12045" max="12046" width="3.6640625" style="4" customWidth="1"/>
    <col min="12047" max="12047" width="2.33203125" style="4" customWidth="1"/>
    <col min="12048" max="12049" width="3.6640625" style="4" customWidth="1"/>
    <col min="12050" max="12050" width="2.33203125" style="4" customWidth="1"/>
    <col min="12051" max="12052" width="3.6640625" style="4" customWidth="1"/>
    <col min="12053" max="12053" width="2.33203125" style="4" customWidth="1"/>
    <col min="12054" max="12055" width="3.6640625" style="4" customWidth="1"/>
    <col min="12056" max="12056" width="2.33203125" style="4" customWidth="1"/>
    <col min="12057" max="12058" width="3.6640625" style="4" customWidth="1"/>
    <col min="12059" max="12059" width="2.33203125" style="4" customWidth="1"/>
    <col min="12060" max="12061" width="3.6640625" style="4" customWidth="1"/>
    <col min="12062" max="12062" width="2.33203125" style="4" customWidth="1"/>
    <col min="12063" max="12063" width="3.6640625" style="4" customWidth="1"/>
    <col min="12064" max="12064" width="9.6640625" style="4" customWidth="1"/>
    <col min="12065" max="12074" width="3.6640625" style="4" customWidth="1"/>
    <col min="12075" max="12075" width="11" style="4" customWidth="1"/>
    <col min="12076" max="12078" width="8.88671875" style="4"/>
    <col min="12079" max="12079" width="21" style="4" customWidth="1"/>
    <col min="12080" max="12080" width="24.44140625" style="4" customWidth="1"/>
    <col min="12081" max="12289" width="8.88671875" style="4"/>
    <col min="12290" max="12290" width="3.6640625" style="4" customWidth="1"/>
    <col min="12291" max="12291" width="2.33203125" style="4" customWidth="1"/>
    <col min="12292" max="12293" width="3.6640625" style="4" customWidth="1"/>
    <col min="12294" max="12294" width="2.33203125" style="4" customWidth="1"/>
    <col min="12295" max="12296" width="3.6640625" style="4" customWidth="1"/>
    <col min="12297" max="12297" width="2.33203125" style="4" customWidth="1"/>
    <col min="12298" max="12299" width="3.6640625" style="4" customWidth="1"/>
    <col min="12300" max="12300" width="2.33203125" style="4" customWidth="1"/>
    <col min="12301" max="12302" width="3.6640625" style="4" customWidth="1"/>
    <col min="12303" max="12303" width="2.33203125" style="4" customWidth="1"/>
    <col min="12304" max="12305" width="3.6640625" style="4" customWidth="1"/>
    <col min="12306" max="12306" width="2.33203125" style="4" customWidth="1"/>
    <col min="12307" max="12308" width="3.6640625" style="4" customWidth="1"/>
    <col min="12309" max="12309" width="2.33203125" style="4" customWidth="1"/>
    <col min="12310" max="12311" width="3.6640625" style="4" customWidth="1"/>
    <col min="12312" max="12312" width="2.33203125" style="4" customWidth="1"/>
    <col min="12313" max="12314" width="3.6640625" style="4" customWidth="1"/>
    <col min="12315" max="12315" width="2.33203125" style="4" customWidth="1"/>
    <col min="12316" max="12317" width="3.6640625" style="4" customWidth="1"/>
    <col min="12318" max="12318" width="2.33203125" style="4" customWidth="1"/>
    <col min="12319" max="12319" width="3.6640625" style="4" customWidth="1"/>
    <col min="12320" max="12320" width="9.6640625" style="4" customWidth="1"/>
    <col min="12321" max="12330" width="3.6640625" style="4" customWidth="1"/>
    <col min="12331" max="12331" width="11" style="4" customWidth="1"/>
    <col min="12332" max="12334" width="8.88671875" style="4"/>
    <col min="12335" max="12335" width="21" style="4" customWidth="1"/>
    <col min="12336" max="12336" width="24.44140625" style="4" customWidth="1"/>
    <col min="12337" max="12545" width="8.88671875" style="4"/>
    <col min="12546" max="12546" width="3.6640625" style="4" customWidth="1"/>
    <col min="12547" max="12547" width="2.33203125" style="4" customWidth="1"/>
    <col min="12548" max="12549" width="3.6640625" style="4" customWidth="1"/>
    <col min="12550" max="12550" width="2.33203125" style="4" customWidth="1"/>
    <col min="12551" max="12552" width="3.6640625" style="4" customWidth="1"/>
    <col min="12553" max="12553" width="2.33203125" style="4" customWidth="1"/>
    <col min="12554" max="12555" width="3.6640625" style="4" customWidth="1"/>
    <col min="12556" max="12556" width="2.33203125" style="4" customWidth="1"/>
    <col min="12557" max="12558" width="3.6640625" style="4" customWidth="1"/>
    <col min="12559" max="12559" width="2.33203125" style="4" customWidth="1"/>
    <col min="12560" max="12561" width="3.6640625" style="4" customWidth="1"/>
    <col min="12562" max="12562" width="2.33203125" style="4" customWidth="1"/>
    <col min="12563" max="12564" width="3.6640625" style="4" customWidth="1"/>
    <col min="12565" max="12565" width="2.33203125" style="4" customWidth="1"/>
    <col min="12566" max="12567" width="3.6640625" style="4" customWidth="1"/>
    <col min="12568" max="12568" width="2.33203125" style="4" customWidth="1"/>
    <col min="12569" max="12570" width="3.6640625" style="4" customWidth="1"/>
    <col min="12571" max="12571" width="2.33203125" style="4" customWidth="1"/>
    <col min="12572" max="12573" width="3.6640625" style="4" customWidth="1"/>
    <col min="12574" max="12574" width="2.33203125" style="4" customWidth="1"/>
    <col min="12575" max="12575" width="3.6640625" style="4" customWidth="1"/>
    <col min="12576" max="12576" width="9.6640625" style="4" customWidth="1"/>
    <col min="12577" max="12586" width="3.6640625" style="4" customWidth="1"/>
    <col min="12587" max="12587" width="11" style="4" customWidth="1"/>
    <col min="12588" max="12590" width="8.88671875" style="4"/>
    <col min="12591" max="12591" width="21" style="4" customWidth="1"/>
    <col min="12592" max="12592" width="24.44140625" style="4" customWidth="1"/>
    <col min="12593" max="12801" width="8.88671875" style="4"/>
    <col min="12802" max="12802" width="3.6640625" style="4" customWidth="1"/>
    <col min="12803" max="12803" width="2.33203125" style="4" customWidth="1"/>
    <col min="12804" max="12805" width="3.6640625" style="4" customWidth="1"/>
    <col min="12806" max="12806" width="2.33203125" style="4" customWidth="1"/>
    <col min="12807" max="12808" width="3.6640625" style="4" customWidth="1"/>
    <col min="12809" max="12809" width="2.33203125" style="4" customWidth="1"/>
    <col min="12810" max="12811" width="3.6640625" style="4" customWidth="1"/>
    <col min="12812" max="12812" width="2.33203125" style="4" customWidth="1"/>
    <col min="12813" max="12814" width="3.6640625" style="4" customWidth="1"/>
    <col min="12815" max="12815" width="2.33203125" style="4" customWidth="1"/>
    <col min="12816" max="12817" width="3.6640625" style="4" customWidth="1"/>
    <col min="12818" max="12818" width="2.33203125" style="4" customWidth="1"/>
    <col min="12819" max="12820" width="3.6640625" style="4" customWidth="1"/>
    <col min="12821" max="12821" width="2.33203125" style="4" customWidth="1"/>
    <col min="12822" max="12823" width="3.6640625" style="4" customWidth="1"/>
    <col min="12824" max="12824" width="2.33203125" style="4" customWidth="1"/>
    <col min="12825" max="12826" width="3.6640625" style="4" customWidth="1"/>
    <col min="12827" max="12827" width="2.33203125" style="4" customWidth="1"/>
    <col min="12828" max="12829" width="3.6640625" style="4" customWidth="1"/>
    <col min="12830" max="12830" width="2.33203125" style="4" customWidth="1"/>
    <col min="12831" max="12831" width="3.6640625" style="4" customWidth="1"/>
    <col min="12832" max="12832" width="9.6640625" style="4" customWidth="1"/>
    <col min="12833" max="12842" width="3.6640625" style="4" customWidth="1"/>
    <col min="12843" max="12843" width="11" style="4" customWidth="1"/>
    <col min="12844" max="12846" width="8.88671875" style="4"/>
    <col min="12847" max="12847" width="21" style="4" customWidth="1"/>
    <col min="12848" max="12848" width="24.44140625" style="4" customWidth="1"/>
    <col min="12849" max="13057" width="8.88671875" style="4"/>
    <col min="13058" max="13058" width="3.6640625" style="4" customWidth="1"/>
    <col min="13059" max="13059" width="2.33203125" style="4" customWidth="1"/>
    <col min="13060" max="13061" width="3.6640625" style="4" customWidth="1"/>
    <col min="13062" max="13062" width="2.33203125" style="4" customWidth="1"/>
    <col min="13063" max="13064" width="3.6640625" style="4" customWidth="1"/>
    <col min="13065" max="13065" width="2.33203125" style="4" customWidth="1"/>
    <col min="13066" max="13067" width="3.6640625" style="4" customWidth="1"/>
    <col min="13068" max="13068" width="2.33203125" style="4" customWidth="1"/>
    <col min="13069" max="13070" width="3.6640625" style="4" customWidth="1"/>
    <col min="13071" max="13071" width="2.33203125" style="4" customWidth="1"/>
    <col min="13072" max="13073" width="3.6640625" style="4" customWidth="1"/>
    <col min="13074" max="13074" width="2.33203125" style="4" customWidth="1"/>
    <col min="13075" max="13076" width="3.6640625" style="4" customWidth="1"/>
    <col min="13077" max="13077" width="2.33203125" style="4" customWidth="1"/>
    <col min="13078" max="13079" width="3.6640625" style="4" customWidth="1"/>
    <col min="13080" max="13080" width="2.33203125" style="4" customWidth="1"/>
    <col min="13081" max="13082" width="3.6640625" style="4" customWidth="1"/>
    <col min="13083" max="13083" width="2.33203125" style="4" customWidth="1"/>
    <col min="13084" max="13085" width="3.6640625" style="4" customWidth="1"/>
    <col min="13086" max="13086" width="2.33203125" style="4" customWidth="1"/>
    <col min="13087" max="13087" width="3.6640625" style="4" customWidth="1"/>
    <col min="13088" max="13088" width="9.6640625" style="4" customWidth="1"/>
    <col min="13089" max="13098" width="3.6640625" style="4" customWidth="1"/>
    <col min="13099" max="13099" width="11" style="4" customWidth="1"/>
    <col min="13100" max="13102" width="8.88671875" style="4"/>
    <col min="13103" max="13103" width="21" style="4" customWidth="1"/>
    <col min="13104" max="13104" width="24.44140625" style="4" customWidth="1"/>
    <col min="13105" max="13313" width="8.88671875" style="4"/>
    <col min="13314" max="13314" width="3.6640625" style="4" customWidth="1"/>
    <col min="13315" max="13315" width="2.33203125" style="4" customWidth="1"/>
    <col min="13316" max="13317" width="3.6640625" style="4" customWidth="1"/>
    <col min="13318" max="13318" width="2.33203125" style="4" customWidth="1"/>
    <col min="13319" max="13320" width="3.6640625" style="4" customWidth="1"/>
    <col min="13321" max="13321" width="2.33203125" style="4" customWidth="1"/>
    <col min="13322" max="13323" width="3.6640625" style="4" customWidth="1"/>
    <col min="13324" max="13324" width="2.33203125" style="4" customWidth="1"/>
    <col min="13325" max="13326" width="3.6640625" style="4" customWidth="1"/>
    <col min="13327" max="13327" width="2.33203125" style="4" customWidth="1"/>
    <col min="13328" max="13329" width="3.6640625" style="4" customWidth="1"/>
    <col min="13330" max="13330" width="2.33203125" style="4" customWidth="1"/>
    <col min="13331" max="13332" width="3.6640625" style="4" customWidth="1"/>
    <col min="13333" max="13333" width="2.33203125" style="4" customWidth="1"/>
    <col min="13334" max="13335" width="3.6640625" style="4" customWidth="1"/>
    <col min="13336" max="13336" width="2.33203125" style="4" customWidth="1"/>
    <col min="13337" max="13338" width="3.6640625" style="4" customWidth="1"/>
    <col min="13339" max="13339" width="2.33203125" style="4" customWidth="1"/>
    <col min="13340" max="13341" width="3.6640625" style="4" customWidth="1"/>
    <col min="13342" max="13342" width="2.33203125" style="4" customWidth="1"/>
    <col min="13343" max="13343" width="3.6640625" style="4" customWidth="1"/>
    <col min="13344" max="13344" width="9.6640625" style="4" customWidth="1"/>
    <col min="13345" max="13354" width="3.6640625" style="4" customWidth="1"/>
    <col min="13355" max="13355" width="11" style="4" customWidth="1"/>
    <col min="13356" max="13358" width="8.88671875" style="4"/>
    <col min="13359" max="13359" width="21" style="4" customWidth="1"/>
    <col min="13360" max="13360" width="24.44140625" style="4" customWidth="1"/>
    <col min="13361" max="13569" width="8.88671875" style="4"/>
    <col min="13570" max="13570" width="3.6640625" style="4" customWidth="1"/>
    <col min="13571" max="13571" width="2.33203125" style="4" customWidth="1"/>
    <col min="13572" max="13573" width="3.6640625" style="4" customWidth="1"/>
    <col min="13574" max="13574" width="2.33203125" style="4" customWidth="1"/>
    <col min="13575" max="13576" width="3.6640625" style="4" customWidth="1"/>
    <col min="13577" max="13577" width="2.33203125" style="4" customWidth="1"/>
    <col min="13578" max="13579" width="3.6640625" style="4" customWidth="1"/>
    <col min="13580" max="13580" width="2.33203125" style="4" customWidth="1"/>
    <col min="13581" max="13582" width="3.6640625" style="4" customWidth="1"/>
    <col min="13583" max="13583" width="2.33203125" style="4" customWidth="1"/>
    <col min="13584" max="13585" width="3.6640625" style="4" customWidth="1"/>
    <col min="13586" max="13586" width="2.33203125" style="4" customWidth="1"/>
    <col min="13587" max="13588" width="3.6640625" style="4" customWidth="1"/>
    <col min="13589" max="13589" width="2.33203125" style="4" customWidth="1"/>
    <col min="13590" max="13591" width="3.6640625" style="4" customWidth="1"/>
    <col min="13592" max="13592" width="2.33203125" style="4" customWidth="1"/>
    <col min="13593" max="13594" width="3.6640625" style="4" customWidth="1"/>
    <col min="13595" max="13595" width="2.33203125" style="4" customWidth="1"/>
    <col min="13596" max="13597" width="3.6640625" style="4" customWidth="1"/>
    <col min="13598" max="13598" width="2.33203125" style="4" customWidth="1"/>
    <col min="13599" max="13599" width="3.6640625" style="4" customWidth="1"/>
    <col min="13600" max="13600" width="9.6640625" style="4" customWidth="1"/>
    <col min="13601" max="13610" width="3.6640625" style="4" customWidth="1"/>
    <col min="13611" max="13611" width="11" style="4" customWidth="1"/>
    <col min="13612" max="13614" width="8.88671875" style="4"/>
    <col min="13615" max="13615" width="21" style="4" customWidth="1"/>
    <col min="13616" max="13616" width="24.44140625" style="4" customWidth="1"/>
    <col min="13617" max="13825" width="8.88671875" style="4"/>
    <col min="13826" max="13826" width="3.6640625" style="4" customWidth="1"/>
    <col min="13827" max="13827" width="2.33203125" style="4" customWidth="1"/>
    <col min="13828" max="13829" width="3.6640625" style="4" customWidth="1"/>
    <col min="13830" max="13830" width="2.33203125" style="4" customWidth="1"/>
    <col min="13831" max="13832" width="3.6640625" style="4" customWidth="1"/>
    <col min="13833" max="13833" width="2.33203125" style="4" customWidth="1"/>
    <col min="13834" max="13835" width="3.6640625" style="4" customWidth="1"/>
    <col min="13836" max="13836" width="2.33203125" style="4" customWidth="1"/>
    <col min="13837" max="13838" width="3.6640625" style="4" customWidth="1"/>
    <col min="13839" max="13839" width="2.33203125" style="4" customWidth="1"/>
    <col min="13840" max="13841" width="3.6640625" style="4" customWidth="1"/>
    <col min="13842" max="13842" width="2.33203125" style="4" customWidth="1"/>
    <col min="13843" max="13844" width="3.6640625" style="4" customWidth="1"/>
    <col min="13845" max="13845" width="2.33203125" style="4" customWidth="1"/>
    <col min="13846" max="13847" width="3.6640625" style="4" customWidth="1"/>
    <col min="13848" max="13848" width="2.33203125" style="4" customWidth="1"/>
    <col min="13849" max="13850" width="3.6640625" style="4" customWidth="1"/>
    <col min="13851" max="13851" width="2.33203125" style="4" customWidth="1"/>
    <col min="13852" max="13853" width="3.6640625" style="4" customWidth="1"/>
    <col min="13854" max="13854" width="2.33203125" style="4" customWidth="1"/>
    <col min="13855" max="13855" width="3.6640625" style="4" customWidth="1"/>
    <col min="13856" max="13856" width="9.6640625" style="4" customWidth="1"/>
    <col min="13857" max="13866" width="3.6640625" style="4" customWidth="1"/>
    <col min="13867" max="13867" width="11" style="4" customWidth="1"/>
    <col min="13868" max="13870" width="8.88671875" style="4"/>
    <col min="13871" max="13871" width="21" style="4" customWidth="1"/>
    <col min="13872" max="13872" width="24.44140625" style="4" customWidth="1"/>
    <col min="13873" max="14081" width="8.88671875" style="4"/>
    <col min="14082" max="14082" width="3.6640625" style="4" customWidth="1"/>
    <col min="14083" max="14083" width="2.33203125" style="4" customWidth="1"/>
    <col min="14084" max="14085" width="3.6640625" style="4" customWidth="1"/>
    <col min="14086" max="14086" width="2.33203125" style="4" customWidth="1"/>
    <col min="14087" max="14088" width="3.6640625" style="4" customWidth="1"/>
    <col min="14089" max="14089" width="2.33203125" style="4" customWidth="1"/>
    <col min="14090" max="14091" width="3.6640625" style="4" customWidth="1"/>
    <col min="14092" max="14092" width="2.33203125" style="4" customWidth="1"/>
    <col min="14093" max="14094" width="3.6640625" style="4" customWidth="1"/>
    <col min="14095" max="14095" width="2.33203125" style="4" customWidth="1"/>
    <col min="14096" max="14097" width="3.6640625" style="4" customWidth="1"/>
    <col min="14098" max="14098" width="2.33203125" style="4" customWidth="1"/>
    <col min="14099" max="14100" width="3.6640625" style="4" customWidth="1"/>
    <col min="14101" max="14101" width="2.33203125" style="4" customWidth="1"/>
    <col min="14102" max="14103" width="3.6640625" style="4" customWidth="1"/>
    <col min="14104" max="14104" width="2.33203125" style="4" customWidth="1"/>
    <col min="14105" max="14106" width="3.6640625" style="4" customWidth="1"/>
    <col min="14107" max="14107" width="2.33203125" style="4" customWidth="1"/>
    <col min="14108" max="14109" width="3.6640625" style="4" customWidth="1"/>
    <col min="14110" max="14110" width="2.33203125" style="4" customWidth="1"/>
    <col min="14111" max="14111" width="3.6640625" style="4" customWidth="1"/>
    <col min="14112" max="14112" width="9.6640625" style="4" customWidth="1"/>
    <col min="14113" max="14122" width="3.6640625" style="4" customWidth="1"/>
    <col min="14123" max="14123" width="11" style="4" customWidth="1"/>
    <col min="14124" max="14126" width="8.88671875" style="4"/>
    <col min="14127" max="14127" width="21" style="4" customWidth="1"/>
    <col min="14128" max="14128" width="24.44140625" style="4" customWidth="1"/>
    <col min="14129" max="14337" width="8.88671875" style="4"/>
    <col min="14338" max="14338" width="3.6640625" style="4" customWidth="1"/>
    <col min="14339" max="14339" width="2.33203125" style="4" customWidth="1"/>
    <col min="14340" max="14341" width="3.6640625" style="4" customWidth="1"/>
    <col min="14342" max="14342" width="2.33203125" style="4" customWidth="1"/>
    <col min="14343" max="14344" width="3.6640625" style="4" customWidth="1"/>
    <col min="14345" max="14345" width="2.33203125" style="4" customWidth="1"/>
    <col min="14346" max="14347" width="3.6640625" style="4" customWidth="1"/>
    <col min="14348" max="14348" width="2.33203125" style="4" customWidth="1"/>
    <col min="14349" max="14350" width="3.6640625" style="4" customWidth="1"/>
    <col min="14351" max="14351" width="2.33203125" style="4" customWidth="1"/>
    <col min="14352" max="14353" width="3.6640625" style="4" customWidth="1"/>
    <col min="14354" max="14354" width="2.33203125" style="4" customWidth="1"/>
    <col min="14355" max="14356" width="3.6640625" style="4" customWidth="1"/>
    <col min="14357" max="14357" width="2.33203125" style="4" customWidth="1"/>
    <col min="14358" max="14359" width="3.6640625" style="4" customWidth="1"/>
    <col min="14360" max="14360" width="2.33203125" style="4" customWidth="1"/>
    <col min="14361" max="14362" width="3.6640625" style="4" customWidth="1"/>
    <col min="14363" max="14363" width="2.33203125" style="4" customWidth="1"/>
    <col min="14364" max="14365" width="3.6640625" style="4" customWidth="1"/>
    <col min="14366" max="14366" width="2.33203125" style="4" customWidth="1"/>
    <col min="14367" max="14367" width="3.6640625" style="4" customWidth="1"/>
    <col min="14368" max="14368" width="9.6640625" style="4" customWidth="1"/>
    <col min="14369" max="14378" width="3.6640625" style="4" customWidth="1"/>
    <col min="14379" max="14379" width="11" style="4" customWidth="1"/>
    <col min="14380" max="14382" width="8.88671875" style="4"/>
    <col min="14383" max="14383" width="21" style="4" customWidth="1"/>
    <col min="14384" max="14384" width="24.44140625" style="4" customWidth="1"/>
    <col min="14385" max="14593" width="8.88671875" style="4"/>
    <col min="14594" max="14594" width="3.6640625" style="4" customWidth="1"/>
    <col min="14595" max="14595" width="2.33203125" style="4" customWidth="1"/>
    <col min="14596" max="14597" width="3.6640625" style="4" customWidth="1"/>
    <col min="14598" max="14598" width="2.33203125" style="4" customWidth="1"/>
    <col min="14599" max="14600" width="3.6640625" style="4" customWidth="1"/>
    <col min="14601" max="14601" width="2.33203125" style="4" customWidth="1"/>
    <col min="14602" max="14603" width="3.6640625" style="4" customWidth="1"/>
    <col min="14604" max="14604" width="2.33203125" style="4" customWidth="1"/>
    <col min="14605" max="14606" width="3.6640625" style="4" customWidth="1"/>
    <col min="14607" max="14607" width="2.33203125" style="4" customWidth="1"/>
    <col min="14608" max="14609" width="3.6640625" style="4" customWidth="1"/>
    <col min="14610" max="14610" width="2.33203125" style="4" customWidth="1"/>
    <col min="14611" max="14612" width="3.6640625" style="4" customWidth="1"/>
    <col min="14613" max="14613" width="2.33203125" style="4" customWidth="1"/>
    <col min="14614" max="14615" width="3.6640625" style="4" customWidth="1"/>
    <col min="14616" max="14616" width="2.33203125" style="4" customWidth="1"/>
    <col min="14617" max="14618" width="3.6640625" style="4" customWidth="1"/>
    <col min="14619" max="14619" width="2.33203125" style="4" customWidth="1"/>
    <col min="14620" max="14621" width="3.6640625" style="4" customWidth="1"/>
    <col min="14622" max="14622" width="2.33203125" style="4" customWidth="1"/>
    <col min="14623" max="14623" width="3.6640625" style="4" customWidth="1"/>
    <col min="14624" max="14624" width="9.6640625" style="4" customWidth="1"/>
    <col min="14625" max="14634" width="3.6640625" style="4" customWidth="1"/>
    <col min="14635" max="14635" width="11" style="4" customWidth="1"/>
    <col min="14636" max="14638" width="8.88671875" style="4"/>
    <col min="14639" max="14639" width="21" style="4" customWidth="1"/>
    <col min="14640" max="14640" width="24.44140625" style="4" customWidth="1"/>
    <col min="14641" max="14849" width="8.88671875" style="4"/>
    <col min="14850" max="14850" width="3.6640625" style="4" customWidth="1"/>
    <col min="14851" max="14851" width="2.33203125" style="4" customWidth="1"/>
    <col min="14852" max="14853" width="3.6640625" style="4" customWidth="1"/>
    <col min="14854" max="14854" width="2.33203125" style="4" customWidth="1"/>
    <col min="14855" max="14856" width="3.6640625" style="4" customWidth="1"/>
    <col min="14857" max="14857" width="2.33203125" style="4" customWidth="1"/>
    <col min="14858" max="14859" width="3.6640625" style="4" customWidth="1"/>
    <col min="14860" max="14860" width="2.33203125" style="4" customWidth="1"/>
    <col min="14861" max="14862" width="3.6640625" style="4" customWidth="1"/>
    <col min="14863" max="14863" width="2.33203125" style="4" customWidth="1"/>
    <col min="14864" max="14865" width="3.6640625" style="4" customWidth="1"/>
    <col min="14866" max="14866" width="2.33203125" style="4" customWidth="1"/>
    <col min="14867" max="14868" width="3.6640625" style="4" customWidth="1"/>
    <col min="14869" max="14869" width="2.33203125" style="4" customWidth="1"/>
    <col min="14870" max="14871" width="3.6640625" style="4" customWidth="1"/>
    <col min="14872" max="14872" width="2.33203125" style="4" customWidth="1"/>
    <col min="14873" max="14874" width="3.6640625" style="4" customWidth="1"/>
    <col min="14875" max="14875" width="2.33203125" style="4" customWidth="1"/>
    <col min="14876" max="14877" width="3.6640625" style="4" customWidth="1"/>
    <col min="14878" max="14878" width="2.33203125" style="4" customWidth="1"/>
    <col min="14879" max="14879" width="3.6640625" style="4" customWidth="1"/>
    <col min="14880" max="14880" width="9.6640625" style="4" customWidth="1"/>
    <col min="14881" max="14890" width="3.6640625" style="4" customWidth="1"/>
    <col min="14891" max="14891" width="11" style="4" customWidth="1"/>
    <col min="14892" max="14894" width="8.88671875" style="4"/>
    <col min="14895" max="14895" width="21" style="4" customWidth="1"/>
    <col min="14896" max="14896" width="24.44140625" style="4" customWidth="1"/>
    <col min="14897" max="15105" width="8.88671875" style="4"/>
    <col min="15106" max="15106" width="3.6640625" style="4" customWidth="1"/>
    <col min="15107" max="15107" width="2.33203125" style="4" customWidth="1"/>
    <col min="15108" max="15109" width="3.6640625" style="4" customWidth="1"/>
    <col min="15110" max="15110" width="2.33203125" style="4" customWidth="1"/>
    <col min="15111" max="15112" width="3.6640625" style="4" customWidth="1"/>
    <col min="15113" max="15113" width="2.33203125" style="4" customWidth="1"/>
    <col min="15114" max="15115" width="3.6640625" style="4" customWidth="1"/>
    <col min="15116" max="15116" width="2.33203125" style="4" customWidth="1"/>
    <col min="15117" max="15118" width="3.6640625" style="4" customWidth="1"/>
    <col min="15119" max="15119" width="2.33203125" style="4" customWidth="1"/>
    <col min="15120" max="15121" width="3.6640625" style="4" customWidth="1"/>
    <col min="15122" max="15122" width="2.33203125" style="4" customWidth="1"/>
    <col min="15123" max="15124" width="3.6640625" style="4" customWidth="1"/>
    <col min="15125" max="15125" width="2.33203125" style="4" customWidth="1"/>
    <col min="15126" max="15127" width="3.6640625" style="4" customWidth="1"/>
    <col min="15128" max="15128" width="2.33203125" style="4" customWidth="1"/>
    <col min="15129" max="15130" width="3.6640625" style="4" customWidth="1"/>
    <col min="15131" max="15131" width="2.33203125" style="4" customWidth="1"/>
    <col min="15132" max="15133" width="3.6640625" style="4" customWidth="1"/>
    <col min="15134" max="15134" width="2.33203125" style="4" customWidth="1"/>
    <col min="15135" max="15135" width="3.6640625" style="4" customWidth="1"/>
    <col min="15136" max="15136" width="9.6640625" style="4" customWidth="1"/>
    <col min="15137" max="15146" width="3.6640625" style="4" customWidth="1"/>
    <col min="15147" max="15147" width="11" style="4" customWidth="1"/>
    <col min="15148" max="15150" width="8.88671875" style="4"/>
    <col min="15151" max="15151" width="21" style="4" customWidth="1"/>
    <col min="15152" max="15152" width="24.44140625" style="4" customWidth="1"/>
    <col min="15153" max="15361" width="8.88671875" style="4"/>
    <col min="15362" max="15362" width="3.6640625" style="4" customWidth="1"/>
    <col min="15363" max="15363" width="2.33203125" style="4" customWidth="1"/>
    <col min="15364" max="15365" width="3.6640625" style="4" customWidth="1"/>
    <col min="15366" max="15366" width="2.33203125" style="4" customWidth="1"/>
    <col min="15367" max="15368" width="3.6640625" style="4" customWidth="1"/>
    <col min="15369" max="15369" width="2.33203125" style="4" customWidth="1"/>
    <col min="15370" max="15371" width="3.6640625" style="4" customWidth="1"/>
    <col min="15372" max="15372" width="2.33203125" style="4" customWidth="1"/>
    <col min="15373" max="15374" width="3.6640625" style="4" customWidth="1"/>
    <col min="15375" max="15375" width="2.33203125" style="4" customWidth="1"/>
    <col min="15376" max="15377" width="3.6640625" style="4" customWidth="1"/>
    <col min="15378" max="15378" width="2.33203125" style="4" customWidth="1"/>
    <col min="15379" max="15380" width="3.6640625" style="4" customWidth="1"/>
    <col min="15381" max="15381" width="2.33203125" style="4" customWidth="1"/>
    <col min="15382" max="15383" width="3.6640625" style="4" customWidth="1"/>
    <col min="15384" max="15384" width="2.33203125" style="4" customWidth="1"/>
    <col min="15385" max="15386" width="3.6640625" style="4" customWidth="1"/>
    <col min="15387" max="15387" width="2.33203125" style="4" customWidth="1"/>
    <col min="15388" max="15389" width="3.6640625" style="4" customWidth="1"/>
    <col min="15390" max="15390" width="2.33203125" style="4" customWidth="1"/>
    <col min="15391" max="15391" width="3.6640625" style="4" customWidth="1"/>
    <col min="15392" max="15392" width="9.6640625" style="4" customWidth="1"/>
    <col min="15393" max="15402" width="3.6640625" style="4" customWidth="1"/>
    <col min="15403" max="15403" width="11" style="4" customWidth="1"/>
    <col min="15404" max="15406" width="8.88671875" style="4"/>
    <col min="15407" max="15407" width="21" style="4" customWidth="1"/>
    <col min="15408" max="15408" width="24.44140625" style="4" customWidth="1"/>
    <col min="15409" max="15617" width="8.88671875" style="4"/>
    <col min="15618" max="15618" width="3.6640625" style="4" customWidth="1"/>
    <col min="15619" max="15619" width="2.33203125" style="4" customWidth="1"/>
    <col min="15620" max="15621" width="3.6640625" style="4" customWidth="1"/>
    <col min="15622" max="15622" width="2.33203125" style="4" customWidth="1"/>
    <col min="15623" max="15624" width="3.6640625" style="4" customWidth="1"/>
    <col min="15625" max="15625" width="2.33203125" style="4" customWidth="1"/>
    <col min="15626" max="15627" width="3.6640625" style="4" customWidth="1"/>
    <col min="15628" max="15628" width="2.33203125" style="4" customWidth="1"/>
    <col min="15629" max="15630" width="3.6640625" style="4" customWidth="1"/>
    <col min="15631" max="15631" width="2.33203125" style="4" customWidth="1"/>
    <col min="15632" max="15633" width="3.6640625" style="4" customWidth="1"/>
    <col min="15634" max="15634" width="2.33203125" style="4" customWidth="1"/>
    <col min="15635" max="15636" width="3.6640625" style="4" customWidth="1"/>
    <col min="15637" max="15637" width="2.33203125" style="4" customWidth="1"/>
    <col min="15638" max="15639" width="3.6640625" style="4" customWidth="1"/>
    <col min="15640" max="15640" width="2.33203125" style="4" customWidth="1"/>
    <col min="15641" max="15642" width="3.6640625" style="4" customWidth="1"/>
    <col min="15643" max="15643" width="2.33203125" style="4" customWidth="1"/>
    <col min="15644" max="15645" width="3.6640625" style="4" customWidth="1"/>
    <col min="15646" max="15646" width="2.33203125" style="4" customWidth="1"/>
    <col min="15647" max="15647" width="3.6640625" style="4" customWidth="1"/>
    <col min="15648" max="15648" width="9.6640625" style="4" customWidth="1"/>
    <col min="15649" max="15658" width="3.6640625" style="4" customWidth="1"/>
    <col min="15659" max="15659" width="11" style="4" customWidth="1"/>
    <col min="15660" max="15662" width="8.88671875" style="4"/>
    <col min="15663" max="15663" width="21" style="4" customWidth="1"/>
    <col min="15664" max="15664" width="24.44140625" style="4" customWidth="1"/>
    <col min="15665" max="15873" width="8.88671875" style="4"/>
    <col min="15874" max="15874" width="3.6640625" style="4" customWidth="1"/>
    <col min="15875" max="15875" width="2.33203125" style="4" customWidth="1"/>
    <col min="15876" max="15877" width="3.6640625" style="4" customWidth="1"/>
    <col min="15878" max="15878" width="2.33203125" style="4" customWidth="1"/>
    <col min="15879" max="15880" width="3.6640625" style="4" customWidth="1"/>
    <col min="15881" max="15881" width="2.33203125" style="4" customWidth="1"/>
    <col min="15882" max="15883" width="3.6640625" style="4" customWidth="1"/>
    <col min="15884" max="15884" width="2.33203125" style="4" customWidth="1"/>
    <col min="15885" max="15886" width="3.6640625" style="4" customWidth="1"/>
    <col min="15887" max="15887" width="2.33203125" style="4" customWidth="1"/>
    <col min="15888" max="15889" width="3.6640625" style="4" customWidth="1"/>
    <col min="15890" max="15890" width="2.33203125" style="4" customWidth="1"/>
    <col min="15891" max="15892" width="3.6640625" style="4" customWidth="1"/>
    <col min="15893" max="15893" width="2.33203125" style="4" customWidth="1"/>
    <col min="15894" max="15895" width="3.6640625" style="4" customWidth="1"/>
    <col min="15896" max="15896" width="2.33203125" style="4" customWidth="1"/>
    <col min="15897" max="15898" width="3.6640625" style="4" customWidth="1"/>
    <col min="15899" max="15899" width="2.33203125" style="4" customWidth="1"/>
    <col min="15900" max="15901" width="3.6640625" style="4" customWidth="1"/>
    <col min="15902" max="15902" width="2.33203125" style="4" customWidth="1"/>
    <col min="15903" max="15903" width="3.6640625" style="4" customWidth="1"/>
    <col min="15904" max="15904" width="9.6640625" style="4" customWidth="1"/>
    <col min="15905" max="15914" width="3.6640625" style="4" customWidth="1"/>
    <col min="15915" max="15915" width="11" style="4" customWidth="1"/>
    <col min="15916" max="15918" width="8.88671875" style="4"/>
    <col min="15919" max="15919" width="21" style="4" customWidth="1"/>
    <col min="15920" max="15920" width="24.44140625" style="4" customWidth="1"/>
    <col min="15921" max="16129" width="8.88671875" style="4"/>
    <col min="16130" max="16130" width="3.6640625" style="4" customWidth="1"/>
    <col min="16131" max="16131" width="2.33203125" style="4" customWidth="1"/>
    <col min="16132" max="16133" width="3.6640625" style="4" customWidth="1"/>
    <col min="16134" max="16134" width="2.33203125" style="4" customWidth="1"/>
    <col min="16135" max="16136" width="3.6640625" style="4" customWidth="1"/>
    <col min="16137" max="16137" width="2.33203125" style="4" customWidth="1"/>
    <col min="16138" max="16139" width="3.6640625" style="4" customWidth="1"/>
    <col min="16140" max="16140" width="2.33203125" style="4" customWidth="1"/>
    <col min="16141" max="16142" width="3.6640625" style="4" customWidth="1"/>
    <col min="16143" max="16143" width="2.33203125" style="4" customWidth="1"/>
    <col min="16144" max="16145" width="3.6640625" style="4" customWidth="1"/>
    <col min="16146" max="16146" width="2.33203125" style="4" customWidth="1"/>
    <col min="16147" max="16148" width="3.6640625" style="4" customWidth="1"/>
    <col min="16149" max="16149" width="2.33203125" style="4" customWidth="1"/>
    <col min="16150" max="16151" width="3.6640625" style="4" customWidth="1"/>
    <col min="16152" max="16152" width="2.33203125" style="4" customWidth="1"/>
    <col min="16153" max="16154" width="3.6640625" style="4" customWidth="1"/>
    <col min="16155" max="16155" width="2.33203125" style="4" customWidth="1"/>
    <col min="16156" max="16157" width="3.6640625" style="4" customWidth="1"/>
    <col min="16158" max="16158" width="2.33203125" style="4" customWidth="1"/>
    <col min="16159" max="16159" width="3.6640625" style="4" customWidth="1"/>
    <col min="16160" max="16160" width="9.6640625" style="4" customWidth="1"/>
    <col min="16161" max="16170" width="3.6640625" style="4" customWidth="1"/>
    <col min="16171" max="16171" width="11" style="4" customWidth="1"/>
    <col min="16172" max="16174" width="8.88671875" style="4"/>
    <col min="16175" max="16175" width="21" style="4" customWidth="1"/>
    <col min="16176" max="16176" width="24.44140625" style="4" customWidth="1"/>
    <col min="16177" max="16384" width="8.88671875" style="4"/>
  </cols>
  <sheetData>
    <row r="1" spans="1:53" ht="13.8" thickBot="1" x14ac:dyDescent="0.3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1"/>
      <c r="AK1" s="1"/>
      <c r="AL1" s="1"/>
      <c r="AM1" s="1"/>
      <c r="AN1" s="1"/>
      <c r="AO1" s="1"/>
      <c r="AP1" s="1"/>
      <c r="AQ1" s="2" t="s">
        <v>1</v>
      </c>
      <c r="AR1" s="3"/>
      <c r="AT1" s="282" t="s">
        <v>2</v>
      </c>
      <c r="AU1" s="283"/>
      <c r="AV1" s="284"/>
      <c r="AZ1" s="5" t="s">
        <v>3</v>
      </c>
      <c r="BA1" s="75">
        <v>32</v>
      </c>
    </row>
    <row r="2" spans="1:53" ht="18.75" customHeight="1" thickBot="1" x14ac:dyDescent="0.35">
      <c r="A2" s="285" t="s">
        <v>4</v>
      </c>
      <c r="B2" s="286"/>
      <c r="C2" s="286"/>
      <c r="D2" s="286"/>
      <c r="E2" s="286"/>
      <c r="F2" s="286"/>
      <c r="G2" s="286"/>
      <c r="H2" s="286"/>
      <c r="I2" s="287"/>
      <c r="J2" s="288" t="s">
        <v>5</v>
      </c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90"/>
      <c r="Y2" s="291" t="s">
        <v>6</v>
      </c>
      <c r="Z2" s="292"/>
      <c r="AA2" s="292"/>
      <c r="AB2" s="292"/>
      <c r="AC2" s="293"/>
      <c r="AD2" s="294">
        <v>42756</v>
      </c>
      <c r="AE2" s="265"/>
      <c r="AF2" s="265"/>
      <c r="AG2" s="265"/>
      <c r="AH2" s="265"/>
      <c r="AI2" s="266"/>
      <c r="AJ2" s="6"/>
      <c r="AK2" s="6"/>
      <c r="AL2" s="6"/>
      <c r="AM2" s="6"/>
      <c r="AN2" s="6"/>
      <c r="AO2" s="6"/>
      <c r="AP2" s="6"/>
      <c r="AQ2" s="6"/>
      <c r="AR2" s="3"/>
      <c r="AT2" s="7" t="s">
        <v>7</v>
      </c>
      <c r="AU2" s="8" t="s">
        <v>8</v>
      </c>
      <c r="AV2" s="9" t="s">
        <v>9</v>
      </c>
      <c r="AW2" s="10" t="s">
        <v>10</v>
      </c>
      <c r="AX2" s="11" t="s">
        <v>11</v>
      </c>
      <c r="AY2" s="10" t="s">
        <v>12</v>
      </c>
      <c r="AZ2" s="5" t="s">
        <v>13</v>
      </c>
      <c r="BA2" s="75">
        <v>16</v>
      </c>
    </row>
    <row r="3" spans="1:53" ht="18.75" customHeight="1" thickBot="1" x14ac:dyDescent="0.35">
      <c r="A3" s="12" t="s">
        <v>14</v>
      </c>
      <c r="B3" s="267" t="s">
        <v>101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9"/>
      <c r="P3" s="270" t="s">
        <v>15</v>
      </c>
      <c r="Q3" s="271"/>
      <c r="R3" s="271"/>
      <c r="S3" s="272"/>
      <c r="T3" s="273"/>
      <c r="U3" s="273"/>
      <c r="V3" s="273"/>
      <c r="W3" s="273"/>
      <c r="X3" s="274"/>
      <c r="Y3" s="275" t="s">
        <v>16</v>
      </c>
      <c r="Z3" s="276"/>
      <c r="AA3" s="276"/>
      <c r="AB3" s="276"/>
      <c r="AC3" s="276"/>
      <c r="AD3" s="277"/>
      <c r="AE3" s="278" t="s">
        <v>17</v>
      </c>
      <c r="AF3" s="279"/>
      <c r="AG3" s="279" t="s">
        <v>18</v>
      </c>
      <c r="AH3" s="279"/>
      <c r="AI3" s="280"/>
      <c r="AJ3" s="6"/>
      <c r="AK3" s="6"/>
      <c r="AL3" s="6"/>
      <c r="AM3" s="6"/>
      <c r="AN3" s="6"/>
      <c r="AO3" s="6"/>
      <c r="AP3" s="6"/>
      <c r="AQ3" s="6"/>
      <c r="AR3" s="3"/>
      <c r="AT3" s="13">
        <v>1</v>
      </c>
      <c r="AU3" s="298" t="s">
        <v>457</v>
      </c>
      <c r="AV3" s="298" t="s">
        <v>458</v>
      </c>
      <c r="AW3" s="15">
        <f>VLOOKUP(AV3,Initial!G:K,5,FALSE)</f>
        <v>1200</v>
      </c>
      <c r="AX3" s="16">
        <f>VLOOKUP(AU3,AT$79:AU$174,2,FALSE)</f>
        <v>1214.3094996726038</v>
      </c>
      <c r="AY3" s="17">
        <f>IF(ISNA(VLOOKUP(AU3,AT$179:AU$279,2,FALSE)),AX3,VLOOKUP(AU3,AT$179:AU$279,2,FALSE))</f>
        <v>1214.3094996726038</v>
      </c>
    </row>
    <row r="4" spans="1:53" ht="24" customHeight="1" thickBot="1" x14ac:dyDescent="0.3">
      <c r="A4" s="258" t="s">
        <v>19</v>
      </c>
      <c r="B4" s="259"/>
      <c r="C4" s="259"/>
      <c r="D4" s="260"/>
      <c r="E4" s="261" t="s">
        <v>102</v>
      </c>
      <c r="F4" s="262"/>
      <c r="G4" s="262"/>
      <c r="H4" s="262"/>
      <c r="I4" s="262"/>
      <c r="J4" s="262"/>
      <c r="K4" s="262"/>
      <c r="L4" s="262"/>
      <c r="M4" s="263"/>
      <c r="N4" s="258" t="s">
        <v>103</v>
      </c>
      <c r="O4" s="259"/>
      <c r="P4" s="259"/>
      <c r="Q4" s="260"/>
      <c r="R4" s="264" t="s">
        <v>104</v>
      </c>
      <c r="S4" s="265"/>
      <c r="T4" s="265"/>
      <c r="U4" s="265"/>
      <c r="V4" s="265"/>
      <c r="W4" s="265"/>
      <c r="X4" s="265"/>
      <c r="Y4" s="265"/>
      <c r="Z4" s="265"/>
      <c r="AA4" s="266"/>
      <c r="AB4" s="258" t="s">
        <v>105</v>
      </c>
      <c r="AC4" s="259"/>
      <c r="AD4" s="259"/>
      <c r="AE4" s="260"/>
      <c r="AF4" s="264"/>
      <c r="AG4" s="265"/>
      <c r="AH4" s="265"/>
      <c r="AI4" s="266"/>
      <c r="AJ4" s="6"/>
      <c r="AK4" s="6"/>
      <c r="AL4" s="6"/>
      <c r="AM4" s="6"/>
      <c r="AN4" s="6"/>
      <c r="AO4" s="6"/>
      <c r="AP4" s="6"/>
      <c r="AQ4" s="6"/>
      <c r="AR4" s="3"/>
      <c r="AT4" s="18">
        <v>2</v>
      </c>
      <c r="AU4" s="298" t="s">
        <v>459</v>
      </c>
      <c r="AV4" s="298" t="s">
        <v>460</v>
      </c>
      <c r="AW4" s="15">
        <f>VLOOKUP(AV4,Initial!G:K,5,FALSE)</f>
        <v>1200</v>
      </c>
      <c r="AX4" s="19">
        <f>VLOOKUP(AU4,AT$79:AU$174,2,FALSE)</f>
        <v>1223.1136240322348</v>
      </c>
      <c r="AY4" s="20">
        <f>IF(ISNA(VLOOKUP(AU4,AT$179:AU$279,2,FALSE)),AX4,VLOOKUP(AU4,AT$179:AU$279,2,FALSE))</f>
        <v>1223.1136240322348</v>
      </c>
    </row>
    <row r="5" spans="1:53" ht="15.6" thickBot="1" x14ac:dyDescent="0.3">
      <c r="A5" s="1" t="s">
        <v>24</v>
      </c>
      <c r="B5" s="255" t="s">
        <v>24</v>
      </c>
      <c r="C5" s="256"/>
      <c r="D5" s="256"/>
      <c r="E5" s="256"/>
      <c r="F5" s="256"/>
      <c r="G5" s="256"/>
      <c r="H5" s="256"/>
      <c r="I5" s="256"/>
      <c r="J5" s="256"/>
      <c r="K5" s="257" t="s">
        <v>24</v>
      </c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3"/>
      <c r="AT5" s="18">
        <v>3</v>
      </c>
      <c r="AU5" s="298" t="s">
        <v>207</v>
      </c>
      <c r="AV5" s="298" t="s">
        <v>461</v>
      </c>
      <c r="AW5" s="15">
        <f>VLOOKUP(AV5,Initial!G:K,5,FALSE)</f>
        <v>1298.5668972647138</v>
      </c>
      <c r="AX5" s="19">
        <f>VLOOKUP(AU5,AT$79:AU$174,2,FALSE)</f>
        <v>1307.5745496164714</v>
      </c>
      <c r="AY5" s="20">
        <f>IF(ISNA(VLOOKUP(AU5,AT$179:AU$279,2,FALSE)),AX5,VLOOKUP(AU5,AT$179:AU$279,2,FALSE))</f>
        <v>1307.5745496164714</v>
      </c>
    </row>
    <row r="6" spans="1:53" ht="24" customHeight="1" thickBot="1" x14ac:dyDescent="0.3">
      <c r="A6" s="21" t="s">
        <v>26</v>
      </c>
      <c r="B6" s="22" t="s">
        <v>106</v>
      </c>
      <c r="C6" s="230" t="s">
        <v>28</v>
      </c>
      <c r="D6" s="231"/>
      <c r="E6" s="231"/>
      <c r="F6" s="231"/>
      <c r="G6" s="231"/>
      <c r="H6" s="232"/>
      <c r="I6" s="233">
        <v>1</v>
      </c>
      <c r="J6" s="234"/>
      <c r="K6" s="235" t="str">
        <f>"Pool "&amp;B6&amp;" - Round 1 - Court "&amp;I6</f>
        <v>Pool A - Round 1 - Court 1</v>
      </c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7"/>
      <c r="AJ6" s="6"/>
      <c r="AK6" s="6"/>
      <c r="AL6" s="6"/>
      <c r="AM6" s="6"/>
      <c r="AN6" s="6"/>
      <c r="AO6" s="6"/>
      <c r="AP6" s="6"/>
      <c r="AQ6" s="6"/>
      <c r="AT6" s="18">
        <v>4</v>
      </c>
      <c r="AU6" s="298" t="s">
        <v>202</v>
      </c>
      <c r="AV6" s="298" t="s">
        <v>462</v>
      </c>
      <c r="AW6" s="15">
        <f>VLOOKUP(AV6,Initial!G:K,5,FALSE)</f>
        <v>1176.7513934507317</v>
      </c>
      <c r="AX6" s="19">
        <f>VLOOKUP(AU6,AT$79:AU$174,2,FALSE)</f>
        <v>1134.0505608585845</v>
      </c>
      <c r="AY6" s="20">
        <f>IF(ISNA(VLOOKUP(AU6,AT$179:AU$279,2,FALSE)),AX6,VLOOKUP(AU6,AT$179:AU$279,2,FALSE))</f>
        <v>1134.0505608585845</v>
      </c>
    </row>
    <row r="7" spans="1:53" ht="27" customHeight="1" thickBot="1" x14ac:dyDescent="0.3">
      <c r="A7" s="23" t="s">
        <v>31</v>
      </c>
      <c r="B7" s="238" t="s">
        <v>8</v>
      </c>
      <c r="C7" s="239"/>
      <c r="D7" s="239"/>
      <c r="E7" s="239"/>
      <c r="F7" s="239"/>
      <c r="G7" s="239"/>
      <c r="H7" s="239"/>
      <c r="I7" s="239"/>
      <c r="J7" s="239"/>
      <c r="K7" s="239"/>
      <c r="L7" s="238" t="str">
        <f>IF($AK10=0,"Games Won","Matches Won")</f>
        <v>Matches Won</v>
      </c>
      <c r="M7" s="239"/>
      <c r="N7" s="239"/>
      <c r="O7" s="239"/>
      <c r="P7" s="239"/>
      <c r="Q7" s="240"/>
      <c r="R7" s="238" t="str">
        <f>IF($AK10=0,"Games Lost","Matches Lost")</f>
        <v>Matches Lost</v>
      </c>
      <c r="S7" s="241"/>
      <c r="T7" s="241"/>
      <c r="U7" s="241"/>
      <c r="V7" s="242"/>
      <c r="W7" s="243" t="s">
        <v>32</v>
      </c>
      <c r="X7" s="244"/>
      <c r="Y7" s="245"/>
      <c r="Z7" s="243" t="s">
        <v>33</v>
      </c>
      <c r="AA7" s="244"/>
      <c r="AB7" s="245"/>
      <c r="AC7" s="246" t="s">
        <v>34</v>
      </c>
      <c r="AD7" s="247"/>
      <c r="AE7" s="248"/>
      <c r="AF7" s="24" t="s">
        <v>35</v>
      </c>
      <c r="AG7" s="25" t="s">
        <v>7</v>
      </c>
      <c r="AH7" s="228" t="s">
        <v>36</v>
      </c>
      <c r="AI7" s="229"/>
      <c r="AJ7" s="26"/>
      <c r="AK7" s="27">
        <v>1</v>
      </c>
      <c r="AL7" s="28" t="s">
        <v>37</v>
      </c>
      <c r="AM7" s="28"/>
      <c r="AN7" s="28"/>
      <c r="AO7" s="28"/>
      <c r="AP7" s="28"/>
      <c r="AQ7" s="28"/>
      <c r="AR7" s="29"/>
      <c r="AT7" s="18">
        <v>5</v>
      </c>
      <c r="AU7" s="298" t="s">
        <v>463</v>
      </c>
      <c r="AV7" s="298" t="s">
        <v>464</v>
      </c>
      <c r="AW7" s="15">
        <f>VLOOKUP(AV7,Initial!G:K,5,FALSE)</f>
        <v>1200</v>
      </c>
      <c r="AX7" s="19">
        <f>VLOOKUP(AU7,AT$79:AU$174,2,FALSE)</f>
        <v>1182.2992844711323</v>
      </c>
      <c r="AY7" s="20">
        <f>IF(ISNA(VLOOKUP(AU7,AT$179:AU$279,2,FALSE)),AX7,VLOOKUP(AU7,AT$179:AU$279,2,FALSE))</f>
        <v>1182.2992844711323</v>
      </c>
    </row>
    <row r="8" spans="1:53" ht="18.75" customHeight="1" thickBot="1" x14ac:dyDescent="0.3">
      <c r="A8" s="194" t="str">
        <f>IF($AK9&gt;0,"1","")</f>
        <v>1</v>
      </c>
      <c r="B8" s="225" t="s">
        <v>8</v>
      </c>
      <c r="C8" s="226"/>
      <c r="D8" s="227"/>
      <c r="E8" s="217" t="str">
        <f>AU3</f>
        <v>Emerald City 12-Dev</v>
      </c>
      <c r="F8" s="218"/>
      <c r="G8" s="218"/>
      <c r="H8" s="218"/>
      <c r="I8" s="218"/>
      <c r="J8" s="218"/>
      <c r="K8" s="219"/>
      <c r="L8" s="201">
        <f>IF($AK10=0,AF64,AF46)</f>
        <v>2</v>
      </c>
      <c r="M8" s="202"/>
      <c r="N8" s="202"/>
      <c r="O8" s="202"/>
      <c r="P8" s="202"/>
      <c r="Q8" s="240"/>
      <c r="R8" s="201">
        <f>IF($AK10=0,AG64,AG46)</f>
        <v>1</v>
      </c>
      <c r="S8" s="202"/>
      <c r="T8" s="202"/>
      <c r="U8" s="202"/>
      <c r="V8" s="202"/>
      <c r="W8" s="201">
        <f>AQ24</f>
        <v>14</v>
      </c>
      <c r="X8" s="202"/>
      <c r="Y8" s="202"/>
      <c r="Z8" s="174">
        <f>IF(AF58&gt;0,(AQ24/AF58),0)</f>
        <v>0.16470588235294117</v>
      </c>
      <c r="AA8" s="175"/>
      <c r="AB8" s="175"/>
      <c r="AC8" s="178">
        <f>IF(AF72=0,0,(AF64/AF72))</f>
        <v>0.66666666666666663</v>
      </c>
      <c r="AD8" s="179"/>
      <c r="AE8" s="180"/>
      <c r="AF8" s="184">
        <v>2</v>
      </c>
      <c r="AG8" s="184">
        <v>1</v>
      </c>
      <c r="AH8" s="186"/>
      <c r="AI8" s="187"/>
      <c r="AJ8" s="26"/>
      <c r="AK8" s="27">
        <v>6</v>
      </c>
      <c r="AL8" s="28" t="s">
        <v>38</v>
      </c>
      <c r="AM8" s="28"/>
      <c r="AN8" s="28"/>
      <c r="AO8" s="28"/>
      <c r="AP8" s="28"/>
      <c r="AQ8" s="28"/>
      <c r="AR8" s="29"/>
      <c r="AT8" s="18">
        <v>6</v>
      </c>
      <c r="AU8" s="298" t="s">
        <v>465</v>
      </c>
      <c r="AV8" s="298" t="s">
        <v>466</v>
      </c>
      <c r="AW8" s="15">
        <f>VLOOKUP(AV8,Initial!G:K,5,FALSE)</f>
        <v>1200</v>
      </c>
      <c r="AX8" s="19">
        <f>VLOOKUP(AU8,AT$79:AU$174,2,FALSE)</f>
        <v>1223.116601965821</v>
      </c>
      <c r="AY8" s="20">
        <f>IF(ISNA(VLOOKUP(AU8,AT$179:AU$279,2,FALSE)),AX8,VLOOKUP(AU8,AT$179:AU$279,2,FALSE))</f>
        <v>1223.116601965821</v>
      </c>
    </row>
    <row r="9" spans="1:53" ht="18.75" customHeight="1" thickBot="1" x14ac:dyDescent="0.3">
      <c r="A9" s="195"/>
      <c r="B9" s="222" t="s">
        <v>9</v>
      </c>
      <c r="C9" s="223"/>
      <c r="D9" s="224"/>
      <c r="E9" s="215" t="str">
        <f>AV3</f>
        <v>FJ2ECITY3PM</v>
      </c>
      <c r="F9" s="216"/>
      <c r="G9" s="216"/>
      <c r="H9" s="216"/>
      <c r="I9" s="216"/>
      <c r="J9" s="216"/>
      <c r="K9" s="216"/>
      <c r="L9" s="220"/>
      <c r="M9" s="221"/>
      <c r="N9" s="221"/>
      <c r="O9" s="221"/>
      <c r="P9" s="221"/>
      <c r="Q9" s="240"/>
      <c r="R9" s="220"/>
      <c r="S9" s="221"/>
      <c r="T9" s="221"/>
      <c r="U9" s="221"/>
      <c r="V9" s="221"/>
      <c r="W9" s="220"/>
      <c r="X9" s="221"/>
      <c r="Y9" s="221"/>
      <c r="Z9" s="205"/>
      <c r="AA9" s="206"/>
      <c r="AB9" s="206"/>
      <c r="AC9" s="207"/>
      <c r="AD9" s="208"/>
      <c r="AE9" s="209"/>
      <c r="AF9" s="210"/>
      <c r="AG9" s="210"/>
      <c r="AH9" s="211"/>
      <c r="AI9" s="212"/>
      <c r="AJ9" s="26"/>
      <c r="AK9" s="27">
        <v>4</v>
      </c>
      <c r="AL9" s="28" t="s">
        <v>39</v>
      </c>
      <c r="AM9" s="26"/>
      <c r="AN9" s="26"/>
      <c r="AO9" s="26"/>
      <c r="AP9" s="26"/>
      <c r="AQ9" s="26"/>
      <c r="AR9" s="3"/>
      <c r="AT9" s="18">
        <v>7</v>
      </c>
      <c r="AU9" s="298" t="s">
        <v>467</v>
      </c>
      <c r="AV9" s="298" t="s">
        <v>468</v>
      </c>
      <c r="AW9" s="15">
        <f>VLOOKUP(AV9,Initial!G:K,5,FALSE)</f>
        <v>1300</v>
      </c>
      <c r="AX9" s="19">
        <f>VLOOKUP(AU9,AT$79:AU$174,2,FALSE)</f>
        <v>1244.7621216501866</v>
      </c>
      <c r="AY9" s="20">
        <f>IF(ISNA(VLOOKUP(AU9,AT$179:AU$279,2,FALSE)),AX9,VLOOKUP(AU9,AT$179:AU$279,2,FALSE))</f>
        <v>1244.7621216501866</v>
      </c>
    </row>
    <row r="10" spans="1:53" ht="18.75" customHeight="1" thickBot="1" x14ac:dyDescent="0.3">
      <c r="A10" s="194" t="str">
        <f>IF($AK9&gt;1,"2","")</f>
        <v>2</v>
      </c>
      <c r="B10" s="225" t="s">
        <v>8</v>
      </c>
      <c r="C10" s="226"/>
      <c r="D10" s="227"/>
      <c r="E10" s="217" t="str">
        <f>AU6</f>
        <v>Kershaw Dev 12 White</v>
      </c>
      <c r="F10" s="218"/>
      <c r="G10" s="218"/>
      <c r="H10" s="218"/>
      <c r="I10" s="218"/>
      <c r="J10" s="218"/>
      <c r="K10" s="219"/>
      <c r="L10" s="201">
        <f>IF($AK10=0,AF65,AF47)</f>
        <v>0</v>
      </c>
      <c r="M10" s="202"/>
      <c r="N10" s="202"/>
      <c r="O10" s="202"/>
      <c r="P10" s="202"/>
      <c r="Q10" s="240"/>
      <c r="R10" s="201">
        <f>IF($AK10=0,AG65,AG47)</f>
        <v>3</v>
      </c>
      <c r="S10" s="202"/>
      <c r="T10" s="202"/>
      <c r="U10" s="202"/>
      <c r="V10" s="202"/>
      <c r="W10" s="201">
        <f>AQ25</f>
        <v>-39</v>
      </c>
      <c r="X10" s="202"/>
      <c r="Y10" s="202"/>
      <c r="Z10" s="174">
        <f>IF(AF59&gt;0,(AQ25/AF59),0)</f>
        <v>-0.40206185567010311</v>
      </c>
      <c r="AA10" s="175"/>
      <c r="AB10" s="175"/>
      <c r="AC10" s="178">
        <f>IF(AF73=0,0,(AF65/AF73))</f>
        <v>0</v>
      </c>
      <c r="AD10" s="179"/>
      <c r="AE10" s="180"/>
      <c r="AF10" s="184">
        <v>4</v>
      </c>
      <c r="AG10" s="184">
        <v>1</v>
      </c>
      <c r="AH10" s="186"/>
      <c r="AI10" s="187"/>
      <c r="AJ10" s="26"/>
      <c r="AK10" s="27">
        <v>1</v>
      </c>
      <c r="AL10" s="28" t="s">
        <v>42</v>
      </c>
      <c r="AM10" s="28"/>
      <c r="AN10" s="28"/>
      <c r="AO10" s="28"/>
      <c r="AP10" s="28"/>
      <c r="AQ10" s="28"/>
      <c r="AR10" s="29"/>
      <c r="AT10" s="18">
        <v>8</v>
      </c>
      <c r="AU10" s="298" t="s">
        <v>469</v>
      </c>
      <c r="AV10" s="298" t="s">
        <v>470</v>
      </c>
      <c r="AW10" s="15">
        <f>VLOOKUP(AV10,Initial!G:K,5,FALSE)</f>
        <v>1184.4234246867265</v>
      </c>
      <c r="AX10" s="19">
        <f>VLOOKUP(AU10,AT$79:AU$174,2,FALSE)</f>
        <v>1230.5154731351377</v>
      </c>
      <c r="AY10" s="20">
        <f>IF(ISNA(VLOOKUP(AU10,AT$179:AU$279,2,FALSE)),AX10,VLOOKUP(AU10,AT$179:AU$279,2,FALSE))</f>
        <v>1230.5154731351377</v>
      </c>
    </row>
    <row r="11" spans="1:53" ht="18.75" customHeight="1" thickBot="1" x14ac:dyDescent="0.3">
      <c r="A11" s="195"/>
      <c r="B11" s="213" t="s">
        <v>9</v>
      </c>
      <c r="C11" s="214"/>
      <c r="D11" s="214"/>
      <c r="E11" s="215" t="str">
        <f>AV6</f>
        <v>FJ2KERSH4PM</v>
      </c>
      <c r="F11" s="216"/>
      <c r="G11" s="216"/>
      <c r="H11" s="216"/>
      <c r="I11" s="216"/>
      <c r="J11" s="216"/>
      <c r="K11" s="216"/>
      <c r="L11" s="220"/>
      <c r="M11" s="221"/>
      <c r="N11" s="221"/>
      <c r="O11" s="221"/>
      <c r="P11" s="221"/>
      <c r="Q11" s="240"/>
      <c r="R11" s="220"/>
      <c r="S11" s="221"/>
      <c r="T11" s="221"/>
      <c r="U11" s="221"/>
      <c r="V11" s="221"/>
      <c r="W11" s="220"/>
      <c r="X11" s="221"/>
      <c r="Y11" s="221"/>
      <c r="Z11" s="205"/>
      <c r="AA11" s="206"/>
      <c r="AB11" s="206"/>
      <c r="AC11" s="207"/>
      <c r="AD11" s="208"/>
      <c r="AE11" s="209"/>
      <c r="AF11" s="210"/>
      <c r="AG11" s="210"/>
      <c r="AH11" s="211"/>
      <c r="AI11" s="212"/>
      <c r="AJ11" s="26"/>
      <c r="AK11" s="27">
        <v>1</v>
      </c>
      <c r="AL11" s="28" t="s">
        <v>44</v>
      </c>
      <c r="AM11" s="26"/>
      <c r="AN11" s="26"/>
      <c r="AO11" s="26"/>
      <c r="AP11" s="26"/>
      <c r="AQ11" s="26"/>
      <c r="AR11" s="3"/>
      <c r="AT11" s="18">
        <v>9</v>
      </c>
      <c r="AU11" s="14"/>
      <c r="AV11" s="14"/>
      <c r="AW11" s="15" t="e">
        <f>VLOOKUP(AV11,[2]Initial!G:K,5,FALSE)</f>
        <v>#N/A</v>
      </c>
      <c r="AX11" s="19" t="e">
        <f>VLOOKUP(AU11,AT$79:AU$174,2,FALSE)</f>
        <v>#N/A</v>
      </c>
      <c r="AY11" s="20" t="e">
        <f>IF(ISNA(VLOOKUP(AU11,AT$179:AU$279,2,FALSE)),AX11,VLOOKUP(AU11,AT$179:AU$279,2,FALSE))</f>
        <v>#N/A</v>
      </c>
    </row>
    <row r="12" spans="1:53" ht="18.75" customHeight="1" x14ac:dyDescent="0.25">
      <c r="A12" s="194" t="str">
        <f>IF($AK9&gt;2,"3","")</f>
        <v>3</v>
      </c>
      <c r="B12" s="196" t="s">
        <v>8</v>
      </c>
      <c r="C12" s="197"/>
      <c r="D12" s="197"/>
      <c r="E12" s="217" t="str">
        <f>AU7</f>
        <v>Kershaw Dev 12 Blue</v>
      </c>
      <c r="F12" s="218"/>
      <c r="G12" s="218"/>
      <c r="H12" s="218"/>
      <c r="I12" s="218"/>
      <c r="J12" s="218"/>
      <c r="K12" s="219"/>
      <c r="L12" s="201">
        <f>IF($AK10=0,AF66,AF48)</f>
        <v>1</v>
      </c>
      <c r="M12" s="202"/>
      <c r="N12" s="202"/>
      <c r="O12" s="202"/>
      <c r="P12" s="202"/>
      <c r="Q12" s="240"/>
      <c r="R12" s="201">
        <f>IF($AK10=0,AG66,AG48)</f>
        <v>2</v>
      </c>
      <c r="S12" s="202"/>
      <c r="T12" s="202"/>
      <c r="U12" s="202"/>
      <c r="V12" s="202"/>
      <c r="W12" s="201">
        <f>AQ26</f>
        <v>-1</v>
      </c>
      <c r="X12" s="202"/>
      <c r="Y12" s="202"/>
      <c r="Z12" s="174">
        <f>IF(AF60&gt;0,(AQ26/AF60),0)</f>
        <v>-1.1904761904761904E-2</v>
      </c>
      <c r="AA12" s="175"/>
      <c r="AB12" s="175"/>
      <c r="AC12" s="178">
        <f>IF(AF74=0,0,(AF66/AF74))</f>
        <v>0.33333333333333331</v>
      </c>
      <c r="AD12" s="179"/>
      <c r="AE12" s="180"/>
      <c r="AF12" s="184">
        <v>3</v>
      </c>
      <c r="AG12" s="184">
        <v>1</v>
      </c>
      <c r="AH12" s="186"/>
      <c r="AI12" s="187"/>
      <c r="AJ12" s="30"/>
      <c r="AK12" s="27">
        <v>3</v>
      </c>
      <c r="AL12" s="31" t="s">
        <v>45</v>
      </c>
      <c r="AM12" s="28"/>
      <c r="AN12" s="28"/>
      <c r="AO12" s="28"/>
      <c r="AP12" s="28"/>
      <c r="AQ12" s="28"/>
      <c r="AR12" s="29"/>
      <c r="AT12" s="76">
        <v>10</v>
      </c>
      <c r="AU12" s="77" t="s">
        <v>107</v>
      </c>
      <c r="AV12" s="78" t="s">
        <v>108</v>
      </c>
    </row>
    <row r="13" spans="1:53" ht="18.75" customHeight="1" thickBot="1" x14ac:dyDescent="0.3">
      <c r="A13" s="195"/>
      <c r="B13" s="213" t="s">
        <v>9</v>
      </c>
      <c r="C13" s="214"/>
      <c r="D13" s="214"/>
      <c r="E13" s="215" t="str">
        <f>AV7</f>
        <v>FJ2KERSH5PM</v>
      </c>
      <c r="F13" s="216"/>
      <c r="G13" s="216"/>
      <c r="H13" s="216"/>
      <c r="I13" s="216"/>
      <c r="J13" s="216"/>
      <c r="K13" s="216"/>
      <c r="L13" s="220"/>
      <c r="M13" s="221"/>
      <c r="N13" s="221"/>
      <c r="O13" s="221"/>
      <c r="P13" s="221"/>
      <c r="Q13" s="240"/>
      <c r="R13" s="220"/>
      <c r="S13" s="221"/>
      <c r="T13" s="221"/>
      <c r="U13" s="221"/>
      <c r="V13" s="221"/>
      <c r="W13" s="220"/>
      <c r="X13" s="221"/>
      <c r="Y13" s="221"/>
      <c r="Z13" s="205"/>
      <c r="AA13" s="206"/>
      <c r="AB13" s="206"/>
      <c r="AC13" s="207"/>
      <c r="AD13" s="208"/>
      <c r="AE13" s="209"/>
      <c r="AF13" s="210"/>
      <c r="AG13" s="210"/>
      <c r="AH13" s="211"/>
      <c r="AI13" s="212"/>
      <c r="AJ13" s="30"/>
      <c r="AK13" s="32"/>
      <c r="AL13" s="33"/>
      <c r="AM13" s="33"/>
      <c r="AN13" s="33"/>
      <c r="AO13" s="33"/>
      <c r="AP13" s="33"/>
      <c r="AQ13" s="26"/>
      <c r="AR13" s="3"/>
      <c r="AT13" s="76">
        <v>11</v>
      </c>
      <c r="AU13" s="77" t="s">
        <v>109</v>
      </c>
      <c r="AV13" s="78" t="s">
        <v>110</v>
      </c>
    </row>
    <row r="14" spans="1:53" ht="18.75" customHeight="1" x14ac:dyDescent="0.25">
      <c r="A14" s="194" t="str">
        <f>IF($AK9&gt;3,"4","")</f>
        <v>4</v>
      </c>
      <c r="B14" s="196" t="s">
        <v>8</v>
      </c>
      <c r="C14" s="197"/>
      <c r="D14" s="197"/>
      <c r="E14" s="217" t="str">
        <f>AU10</f>
        <v>MBVC 12U Elite Karla</v>
      </c>
      <c r="F14" s="218"/>
      <c r="G14" s="218"/>
      <c r="H14" s="218"/>
      <c r="I14" s="218"/>
      <c r="J14" s="218"/>
      <c r="K14" s="219"/>
      <c r="L14" s="201">
        <f>IF($AK10=0,AF67,AF49)</f>
        <v>3</v>
      </c>
      <c r="M14" s="202"/>
      <c r="N14" s="202"/>
      <c r="O14" s="202"/>
      <c r="P14" s="202"/>
      <c r="Q14" s="240"/>
      <c r="R14" s="201">
        <f>IF($AK10=0,AG67,AG49)</f>
        <v>0</v>
      </c>
      <c r="S14" s="202"/>
      <c r="T14" s="202"/>
      <c r="U14" s="202"/>
      <c r="V14" s="202"/>
      <c r="W14" s="201">
        <f>AQ27</f>
        <v>26</v>
      </c>
      <c r="X14" s="202"/>
      <c r="Y14" s="202"/>
      <c r="Z14" s="174">
        <f>IF(AF61&gt;0,(AQ27/AF61),0)</f>
        <v>0.29545454545454547</v>
      </c>
      <c r="AA14" s="175"/>
      <c r="AB14" s="175"/>
      <c r="AC14" s="178">
        <f>IF(AF75=0,0,(AF67/AF75))</f>
        <v>1</v>
      </c>
      <c r="AD14" s="179"/>
      <c r="AE14" s="180"/>
      <c r="AF14" s="184">
        <v>1</v>
      </c>
      <c r="AG14" s="184">
        <v>1</v>
      </c>
      <c r="AH14" s="186"/>
      <c r="AI14" s="187"/>
      <c r="AJ14" s="6"/>
      <c r="AK14" s="33"/>
      <c r="AL14" s="33"/>
      <c r="AM14" s="33"/>
      <c r="AN14" s="33"/>
      <c r="AO14" s="33"/>
      <c r="AP14" s="33"/>
      <c r="AQ14" s="28"/>
      <c r="AR14" s="29"/>
      <c r="AT14" s="76">
        <v>12</v>
      </c>
      <c r="AU14" s="77" t="s">
        <v>111</v>
      </c>
      <c r="AV14" s="78" t="s">
        <v>112</v>
      </c>
    </row>
    <row r="15" spans="1:53" ht="18.75" customHeight="1" thickBot="1" x14ac:dyDescent="0.3">
      <c r="A15" s="195"/>
      <c r="B15" s="213" t="s">
        <v>9</v>
      </c>
      <c r="C15" s="214"/>
      <c r="D15" s="214"/>
      <c r="E15" s="215" t="str">
        <f>AV10</f>
        <v>FJ2MBEAC1PM</v>
      </c>
      <c r="F15" s="216"/>
      <c r="G15" s="216"/>
      <c r="H15" s="216"/>
      <c r="I15" s="216"/>
      <c r="J15" s="216"/>
      <c r="K15" s="216"/>
      <c r="L15" s="220"/>
      <c r="M15" s="221"/>
      <c r="N15" s="221"/>
      <c r="O15" s="221"/>
      <c r="P15" s="221"/>
      <c r="Q15" s="240"/>
      <c r="R15" s="220"/>
      <c r="S15" s="221"/>
      <c r="T15" s="221"/>
      <c r="U15" s="221"/>
      <c r="V15" s="221"/>
      <c r="W15" s="220"/>
      <c r="X15" s="221"/>
      <c r="Y15" s="221"/>
      <c r="Z15" s="205"/>
      <c r="AA15" s="206"/>
      <c r="AB15" s="206"/>
      <c r="AC15" s="207"/>
      <c r="AD15" s="208"/>
      <c r="AE15" s="209"/>
      <c r="AF15" s="210"/>
      <c r="AG15" s="210"/>
      <c r="AH15" s="211"/>
      <c r="AI15" s="212"/>
      <c r="AJ15" s="6"/>
      <c r="AK15" s="33"/>
      <c r="AL15" s="33"/>
      <c r="AM15" s="33"/>
      <c r="AN15" s="33"/>
      <c r="AO15" s="33"/>
      <c r="AP15" s="33"/>
      <c r="AQ15" s="6"/>
      <c r="AR15" s="3"/>
      <c r="AT15" s="76">
        <v>13</v>
      </c>
      <c r="AU15" s="77" t="s">
        <v>113</v>
      </c>
      <c r="AV15" s="78" t="s">
        <v>114</v>
      </c>
    </row>
    <row r="16" spans="1:53" ht="18.75" customHeight="1" x14ac:dyDescent="0.25">
      <c r="A16" s="194" t="str">
        <f>IF($AK9&gt;4,"5","")</f>
        <v/>
      </c>
      <c r="B16" s="196" t="s">
        <v>8</v>
      </c>
      <c r="C16" s="197"/>
      <c r="D16" s="197"/>
      <c r="E16" s="198">
        <f>AU19</f>
        <v>0</v>
      </c>
      <c r="F16" s="199"/>
      <c r="G16" s="199"/>
      <c r="H16" s="199"/>
      <c r="I16" s="199"/>
      <c r="J16" s="199"/>
      <c r="K16" s="200"/>
      <c r="L16" s="201">
        <f>IF($AK10=0,AF68,AF50)</f>
        <v>0</v>
      </c>
      <c r="M16" s="202"/>
      <c r="N16" s="202"/>
      <c r="O16" s="202"/>
      <c r="P16" s="202"/>
      <c r="Q16" s="240"/>
      <c r="R16" s="201">
        <f>IF($AK10=0,AG68,AG50)</f>
        <v>0</v>
      </c>
      <c r="S16" s="202"/>
      <c r="T16" s="202"/>
      <c r="U16" s="202"/>
      <c r="V16" s="202"/>
      <c r="W16" s="201">
        <f>AQ28</f>
        <v>0</v>
      </c>
      <c r="X16" s="202"/>
      <c r="Y16" s="202"/>
      <c r="Z16" s="174">
        <f>IF(AF62&gt;0,(AQ28/AF62),0)</f>
        <v>0</v>
      </c>
      <c r="AA16" s="175"/>
      <c r="AB16" s="175"/>
      <c r="AC16" s="178">
        <f>IF(AF76=0,0,(AF68/AF76))</f>
        <v>0</v>
      </c>
      <c r="AD16" s="179"/>
      <c r="AE16" s="180"/>
      <c r="AF16" s="184"/>
      <c r="AG16" s="184"/>
      <c r="AH16" s="186"/>
      <c r="AI16" s="187"/>
      <c r="AJ16" s="6"/>
      <c r="AK16" s="33"/>
      <c r="AL16" s="33"/>
      <c r="AM16" s="33"/>
      <c r="AN16" s="33"/>
      <c r="AO16" s="33"/>
      <c r="AP16" s="33"/>
      <c r="AQ16" s="6"/>
      <c r="AR16" s="3"/>
      <c r="AT16" s="76">
        <v>14</v>
      </c>
      <c r="AU16" s="77" t="s">
        <v>115</v>
      </c>
      <c r="AV16" s="78" t="s">
        <v>116</v>
      </c>
    </row>
    <row r="17" spans="1:48" ht="18.75" customHeight="1" thickBot="1" x14ac:dyDescent="0.3">
      <c r="A17" s="195"/>
      <c r="B17" s="190" t="s">
        <v>9</v>
      </c>
      <c r="C17" s="191"/>
      <c r="D17" s="191"/>
      <c r="E17" s="192">
        <f>AV19</f>
        <v>0</v>
      </c>
      <c r="F17" s="193"/>
      <c r="G17" s="193"/>
      <c r="H17" s="193"/>
      <c r="I17" s="193"/>
      <c r="J17" s="193"/>
      <c r="K17" s="193"/>
      <c r="L17" s="203"/>
      <c r="M17" s="204"/>
      <c r="N17" s="204"/>
      <c r="O17" s="204"/>
      <c r="P17" s="204"/>
      <c r="Q17" s="240"/>
      <c r="R17" s="203"/>
      <c r="S17" s="204"/>
      <c r="T17" s="204"/>
      <c r="U17" s="204"/>
      <c r="V17" s="204"/>
      <c r="W17" s="203"/>
      <c r="X17" s="204"/>
      <c r="Y17" s="204"/>
      <c r="Z17" s="176"/>
      <c r="AA17" s="177"/>
      <c r="AB17" s="177"/>
      <c r="AC17" s="181"/>
      <c r="AD17" s="182"/>
      <c r="AE17" s="183"/>
      <c r="AF17" s="185"/>
      <c r="AG17" s="185"/>
      <c r="AH17" s="188"/>
      <c r="AI17" s="189"/>
      <c r="AJ17" s="6"/>
      <c r="AK17" s="33"/>
      <c r="AL17" s="33"/>
      <c r="AM17" s="33"/>
      <c r="AN17" s="33"/>
      <c r="AO17" s="33"/>
      <c r="AP17" s="33"/>
      <c r="AQ17" s="6"/>
      <c r="AR17" s="3"/>
      <c r="AT17" s="76">
        <v>15</v>
      </c>
      <c r="AU17" s="77" t="s">
        <v>117</v>
      </c>
      <c r="AV17" s="78" t="s">
        <v>118</v>
      </c>
    </row>
    <row r="18" spans="1:48" ht="21" customHeight="1" thickTop="1" thickBot="1" x14ac:dyDescent="0.3">
      <c r="A18" s="34"/>
      <c r="B18" s="171" t="s">
        <v>119</v>
      </c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3"/>
      <c r="AJ18" s="6"/>
      <c r="AK18" s="33"/>
      <c r="AL18" s="33"/>
      <c r="AM18" s="33"/>
      <c r="AN18" s="33"/>
      <c r="AO18" s="33"/>
      <c r="AP18" s="33"/>
      <c r="AQ18" s="6"/>
      <c r="AR18" s="3"/>
      <c r="AT18" s="76">
        <v>16</v>
      </c>
      <c r="AU18" s="77" t="s">
        <v>120</v>
      </c>
      <c r="AV18" s="78" t="s">
        <v>121</v>
      </c>
    </row>
    <row r="19" spans="1:48" ht="13.8" thickTop="1" x14ac:dyDescent="0.25">
      <c r="A19" s="4" t="s">
        <v>47</v>
      </c>
      <c r="B19" s="160">
        <v>6.25E-2</v>
      </c>
      <c r="C19" s="161"/>
      <c r="D19" s="162"/>
      <c r="E19" s="160">
        <v>8.3333333333333329E-2</v>
      </c>
      <c r="F19" s="161"/>
      <c r="G19" s="162"/>
      <c r="H19" s="160">
        <v>0.10416666666666667</v>
      </c>
      <c r="I19" s="161"/>
      <c r="J19" s="162"/>
      <c r="K19" s="160"/>
      <c r="L19" s="161"/>
      <c r="M19" s="162"/>
      <c r="N19" s="160"/>
      <c r="O19" s="161"/>
      <c r="P19" s="162"/>
      <c r="Q19" s="160"/>
      <c r="R19" s="161"/>
      <c r="S19" s="162"/>
      <c r="T19" s="160"/>
      <c r="U19" s="161"/>
      <c r="V19" s="162"/>
      <c r="W19" s="160"/>
      <c r="X19" s="161"/>
      <c r="Y19" s="162"/>
      <c r="Z19" s="160"/>
      <c r="AA19" s="161"/>
      <c r="AB19" s="162"/>
      <c r="AC19" s="160"/>
      <c r="AD19" s="161"/>
      <c r="AE19" s="162"/>
      <c r="AF19" s="163" t="s">
        <v>48</v>
      </c>
      <c r="AG19" s="164"/>
      <c r="AH19" s="164"/>
      <c r="AI19" s="164"/>
      <c r="AJ19" s="165"/>
      <c r="AK19" s="165"/>
      <c r="AL19" s="165"/>
      <c r="AM19" s="165"/>
      <c r="AN19" s="165"/>
      <c r="AO19" s="165"/>
      <c r="AP19" s="165"/>
      <c r="AQ19" s="166"/>
      <c r="AT19" s="76"/>
      <c r="AU19" s="77"/>
      <c r="AV19" s="78"/>
    </row>
    <row r="20" spans="1:48" x14ac:dyDescent="0.25">
      <c r="A20" s="35" t="s">
        <v>49</v>
      </c>
      <c r="B20" s="157"/>
      <c r="C20" s="158"/>
      <c r="D20" s="159"/>
      <c r="E20" s="157"/>
      <c r="F20" s="158"/>
      <c r="G20" s="159"/>
      <c r="H20" s="157"/>
      <c r="I20" s="158"/>
      <c r="J20" s="159"/>
      <c r="K20" s="157"/>
      <c r="L20" s="158"/>
      <c r="M20" s="159"/>
      <c r="N20" s="157"/>
      <c r="O20" s="158"/>
      <c r="P20" s="159"/>
      <c r="Q20" s="157"/>
      <c r="R20" s="158"/>
      <c r="S20" s="159"/>
      <c r="T20" s="157"/>
      <c r="U20" s="158"/>
      <c r="V20" s="159"/>
      <c r="W20" s="157"/>
      <c r="X20" s="158"/>
      <c r="Y20" s="159"/>
      <c r="Z20" s="157"/>
      <c r="AA20" s="158"/>
      <c r="AB20" s="159"/>
      <c r="AC20" s="157"/>
      <c r="AD20" s="158"/>
      <c r="AE20" s="159"/>
      <c r="AF20" s="163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7"/>
      <c r="AT20" s="76"/>
      <c r="AU20" s="77"/>
      <c r="AV20" s="78"/>
    </row>
    <row r="21" spans="1:48" x14ac:dyDescent="0.25">
      <c r="A21" s="35" t="s">
        <v>50</v>
      </c>
      <c r="B21" s="157"/>
      <c r="C21" s="158"/>
      <c r="D21" s="159"/>
      <c r="E21" s="157"/>
      <c r="F21" s="158"/>
      <c r="G21" s="159"/>
      <c r="H21" s="157"/>
      <c r="I21" s="158"/>
      <c r="J21" s="159"/>
      <c r="K21" s="157"/>
      <c r="L21" s="158"/>
      <c r="M21" s="159"/>
      <c r="N21" s="157"/>
      <c r="O21" s="158"/>
      <c r="P21" s="159"/>
      <c r="Q21" s="157"/>
      <c r="R21" s="158"/>
      <c r="S21" s="159"/>
      <c r="T21" s="157"/>
      <c r="U21" s="158"/>
      <c r="V21" s="159"/>
      <c r="W21" s="157"/>
      <c r="X21" s="158"/>
      <c r="Y21" s="159"/>
      <c r="Z21" s="157"/>
      <c r="AA21" s="158"/>
      <c r="AB21" s="159"/>
      <c r="AC21" s="157"/>
      <c r="AD21" s="158"/>
      <c r="AE21" s="159"/>
      <c r="AF21" s="163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7"/>
      <c r="AT21" s="76"/>
      <c r="AU21" s="77"/>
      <c r="AV21" s="78"/>
    </row>
    <row r="22" spans="1:48" ht="13.8" thickBot="1" x14ac:dyDescent="0.3">
      <c r="A22" s="6"/>
      <c r="B22" s="154" t="s">
        <v>51</v>
      </c>
      <c r="C22" s="155"/>
      <c r="D22" s="156"/>
      <c r="E22" s="154" t="str">
        <f>IF(AK8&gt;1,"Match 2","")</f>
        <v>Match 2</v>
      </c>
      <c r="F22" s="155"/>
      <c r="G22" s="156"/>
      <c r="H22" s="154" t="str">
        <f>IF(AK8&gt;2,"Match 3","")</f>
        <v>Match 3</v>
      </c>
      <c r="I22" s="155"/>
      <c r="J22" s="156"/>
      <c r="K22" s="154" t="str">
        <f>IF(AK8&gt;3,"Match 4","")</f>
        <v>Match 4</v>
      </c>
      <c r="L22" s="155"/>
      <c r="M22" s="156"/>
      <c r="N22" s="154" t="str">
        <f>IF(AK8&gt;4,"Match 5","")</f>
        <v>Match 5</v>
      </c>
      <c r="O22" s="155"/>
      <c r="P22" s="156"/>
      <c r="Q22" s="154" t="str">
        <f>IF(AK8&gt;5,"Match 6","")</f>
        <v>Match 6</v>
      </c>
      <c r="R22" s="155"/>
      <c r="S22" s="156"/>
      <c r="T22" s="154" t="str">
        <f>IF(AK8&gt;6,"Match 7","")</f>
        <v/>
      </c>
      <c r="U22" s="155"/>
      <c r="V22" s="156"/>
      <c r="W22" s="154" t="str">
        <f>IF(AK8&gt;7,"Match 8","")</f>
        <v/>
      </c>
      <c r="X22" s="155"/>
      <c r="Y22" s="156"/>
      <c r="Z22" s="154" t="str">
        <f>IF(AK8&gt;8,"Match 9","")</f>
        <v/>
      </c>
      <c r="AA22" s="155"/>
      <c r="AB22" s="156"/>
      <c r="AC22" s="154" t="str">
        <f>IF(AK8&gt;9,"Match 10","")</f>
        <v/>
      </c>
      <c r="AD22" s="155"/>
      <c r="AE22" s="156"/>
      <c r="AF22" s="168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70"/>
      <c r="AT22" s="79"/>
      <c r="AU22" s="80"/>
      <c r="AV22" s="81"/>
    </row>
    <row r="23" spans="1:48" ht="15.75" customHeight="1" x14ac:dyDescent="0.3">
      <c r="A23" s="6"/>
      <c r="B23" s="147" t="s">
        <v>53</v>
      </c>
      <c r="C23" s="148"/>
      <c r="D23" s="149"/>
      <c r="E23" s="147" t="s">
        <v>52</v>
      </c>
      <c r="F23" s="148"/>
      <c r="G23" s="149"/>
      <c r="H23" s="147" t="s">
        <v>54</v>
      </c>
      <c r="I23" s="148"/>
      <c r="J23" s="149"/>
      <c r="K23" s="147" t="s">
        <v>55</v>
      </c>
      <c r="L23" s="148"/>
      <c r="M23" s="149"/>
      <c r="N23" s="147" t="s">
        <v>52</v>
      </c>
      <c r="O23" s="148"/>
      <c r="P23" s="149"/>
      <c r="Q23" s="147" t="s">
        <v>54</v>
      </c>
      <c r="R23" s="148"/>
      <c r="S23" s="149"/>
      <c r="T23" s="147"/>
      <c r="U23" s="148"/>
      <c r="V23" s="149"/>
      <c r="W23" s="147"/>
      <c r="X23" s="148"/>
      <c r="Y23" s="149"/>
      <c r="Z23" s="147"/>
      <c r="AA23" s="148"/>
      <c r="AB23" s="149"/>
      <c r="AC23" s="147"/>
      <c r="AD23" s="148"/>
      <c r="AE23" s="149"/>
      <c r="AF23" s="36" t="s">
        <v>56</v>
      </c>
      <c r="AG23" s="37">
        <v>1</v>
      </c>
      <c r="AH23" s="37">
        <v>2</v>
      </c>
      <c r="AI23" s="37">
        <v>3</v>
      </c>
      <c r="AJ23" s="37">
        <v>4</v>
      </c>
      <c r="AK23" s="37">
        <v>5</v>
      </c>
      <c r="AL23" s="37">
        <v>6</v>
      </c>
      <c r="AM23" s="37">
        <v>7</v>
      </c>
      <c r="AN23" s="37">
        <v>8</v>
      </c>
      <c r="AO23" s="37">
        <v>9</v>
      </c>
      <c r="AP23" s="37">
        <v>10</v>
      </c>
      <c r="AQ23" s="38" t="s">
        <v>57</v>
      </c>
      <c r="AT23" s="249" t="s">
        <v>122</v>
      </c>
      <c r="AU23" s="250"/>
      <c r="AV23" s="251"/>
    </row>
    <row r="24" spans="1:48" ht="16.2" thickBot="1" x14ac:dyDescent="0.35">
      <c r="A24" s="6"/>
      <c r="B24" s="39">
        <v>2</v>
      </c>
      <c r="C24" s="40" t="s">
        <v>58</v>
      </c>
      <c r="D24" s="41">
        <v>3</v>
      </c>
      <c r="E24" s="39">
        <v>1</v>
      </c>
      <c r="F24" s="40" t="str">
        <f>IF(AK8&gt;1,"v","")</f>
        <v>v</v>
      </c>
      <c r="G24" s="41">
        <v>4</v>
      </c>
      <c r="H24" s="39">
        <v>2</v>
      </c>
      <c r="I24" s="40" t="str">
        <f>IF(AK8&gt;2,"v","")</f>
        <v>v</v>
      </c>
      <c r="J24" s="41">
        <v>4</v>
      </c>
      <c r="K24" s="39">
        <v>1</v>
      </c>
      <c r="L24" s="40" t="str">
        <f>IF(AK8&gt;3,"v","")</f>
        <v>v</v>
      </c>
      <c r="M24" s="41">
        <v>3</v>
      </c>
      <c r="N24" s="39">
        <v>3</v>
      </c>
      <c r="O24" s="40" t="str">
        <f>IF(AK8&gt;4,"v","")</f>
        <v>v</v>
      </c>
      <c r="P24" s="41">
        <v>4</v>
      </c>
      <c r="Q24" s="39">
        <v>1</v>
      </c>
      <c r="R24" s="40" t="str">
        <f>IF(AK8&gt;5,"v","")</f>
        <v>v</v>
      </c>
      <c r="S24" s="41">
        <v>2</v>
      </c>
      <c r="T24" s="39"/>
      <c r="U24" s="40" t="str">
        <f>IF(AK8&gt;6,"v","")</f>
        <v/>
      </c>
      <c r="V24" s="41"/>
      <c r="W24" s="39"/>
      <c r="X24" s="40" t="str">
        <f>IF(AK8&gt;7,"v","")</f>
        <v/>
      </c>
      <c r="Y24" s="41"/>
      <c r="Z24" s="39"/>
      <c r="AA24" s="40" t="str">
        <f>IF(AK8&gt;8,"v","")</f>
        <v/>
      </c>
      <c r="AB24" s="41"/>
      <c r="AC24" s="39"/>
      <c r="AD24" s="40" t="str">
        <f>IF(AK8&gt;9,"v","")</f>
        <v/>
      </c>
      <c r="AE24" s="41"/>
      <c r="AF24" s="36" t="str">
        <f>IF(AK9&gt;0,"Team 1","")</f>
        <v>Team 1</v>
      </c>
      <c r="AG24" s="42" t="str">
        <f>IF(AK9&lt;1,"",IF(AK8&lt;1,"",IF(B24=1,B30-D30,IF(D24=1,D30-B30,""))))</f>
        <v/>
      </c>
      <c r="AH24" s="42">
        <f>IF(AK9&lt;1,"",IF(AK8&lt;2,"",IF(E24=1,E30-G30,IF(G24=1,G30-E30,""))))</f>
        <v>-2</v>
      </c>
      <c r="AI24" s="42" t="str">
        <f>IF(AK9&lt;1,"",IF(AK8&lt;3,"",IF(H24=1,H30-J30,IF(J24=1,J30-H30,""))))</f>
        <v/>
      </c>
      <c r="AJ24" s="42">
        <f>IF(AK9&lt;1,"",IF(AK8&lt;4,"",IF(K24=1,K30-M30,IF(M24=1,M30-K30,""))))</f>
        <v>3</v>
      </c>
      <c r="AK24" s="42" t="str">
        <f>IF(AK9&lt;1,"",IF(AK8&lt;5,"",IF(N24=1,N30-P30,IF(P24=1,P30-N30,""))))</f>
        <v/>
      </c>
      <c r="AL24" s="42">
        <f>IF(AK9&lt;1,"",IF(AK8&lt;6,"",IF(Q24=1,Q30-S30,IF(S24=1,S30-Q30,""))))</f>
        <v>13</v>
      </c>
      <c r="AM24" s="42" t="str">
        <f>IF(AK9&lt;1,"",IF(AK8&lt;7,"",IF(T24=1,T30-V30,IF(V24=1,V30-T30,""))))</f>
        <v/>
      </c>
      <c r="AN24" s="42" t="str">
        <f>IF(AK9&lt;1,"",IF(AK8&lt;8,"",IF(W24=1,W30-Y30,IF(Y24=1,Y30-W30,""))))</f>
        <v/>
      </c>
      <c r="AO24" s="42" t="str">
        <f>IF(AK9&lt;1,"",IF(AK8&lt;9,"",IF(Z24=1,Z30-AB30,IF(AB24=1,AB30-Z30,""))))</f>
        <v/>
      </c>
      <c r="AP24" s="42" t="str">
        <f>IF(AK9&lt;1,"",IF(AK8&lt;10,"",IF(AC24=1,AC30-AE30,IF(AE24=1,AE30-AC30,""))))</f>
        <v/>
      </c>
      <c r="AQ24" s="38">
        <f>SUM(AG24:AP24)</f>
        <v>14</v>
      </c>
      <c r="AT24" s="252"/>
      <c r="AU24" s="253"/>
      <c r="AV24" s="254"/>
    </row>
    <row r="25" spans="1:48" ht="15" x14ac:dyDescent="0.25">
      <c r="A25" s="4" t="s">
        <v>59</v>
      </c>
      <c r="B25" s="43">
        <v>22</v>
      </c>
      <c r="C25" s="44" t="s">
        <v>60</v>
      </c>
      <c r="D25" s="45">
        <v>29</v>
      </c>
      <c r="E25" s="43">
        <v>23</v>
      </c>
      <c r="F25" s="44" t="str">
        <f>IF(AK8&gt;1,"/","")</f>
        <v>/</v>
      </c>
      <c r="G25" s="45">
        <v>25</v>
      </c>
      <c r="H25" s="43">
        <v>16</v>
      </c>
      <c r="I25" s="44" t="str">
        <f>IF(AK8&gt;2,"/","")</f>
        <v>/</v>
      </c>
      <c r="J25" s="45">
        <v>35</v>
      </c>
      <c r="K25" s="43">
        <v>27</v>
      </c>
      <c r="L25" s="44" t="str">
        <f>IF(AK8&gt;3,"/","")</f>
        <v>/</v>
      </c>
      <c r="M25" s="45">
        <v>24</v>
      </c>
      <c r="N25" s="43">
        <v>23</v>
      </c>
      <c r="O25" s="44" t="str">
        <f>IF(AK8&gt;4,"/","")</f>
        <v>/</v>
      </c>
      <c r="P25" s="45">
        <v>28</v>
      </c>
      <c r="Q25" s="43">
        <v>33</v>
      </c>
      <c r="R25" s="44" t="str">
        <f>IF(AK8&gt;5,"/","")</f>
        <v>/</v>
      </c>
      <c r="S25" s="45">
        <v>20</v>
      </c>
      <c r="T25" s="43"/>
      <c r="U25" s="44" t="str">
        <f>IF(AK8&gt;6,"/","")</f>
        <v/>
      </c>
      <c r="V25" s="45"/>
      <c r="W25" s="43"/>
      <c r="X25" s="44" t="str">
        <f>IF(AK8&gt;7,"/","")</f>
        <v/>
      </c>
      <c r="Y25" s="45"/>
      <c r="Z25" s="43"/>
      <c r="AA25" s="44" t="str">
        <f>IF(AK8&gt;8,"/","")</f>
        <v/>
      </c>
      <c r="AB25" s="45"/>
      <c r="AC25" s="43"/>
      <c r="AD25" s="44" t="str">
        <f>IF(AK8&gt;9,"/","")</f>
        <v/>
      </c>
      <c r="AE25" s="45"/>
      <c r="AF25" s="36" t="str">
        <f>IF(AK9&gt;1,"Team 2","")</f>
        <v>Team 2</v>
      </c>
      <c r="AG25" s="42">
        <f>IF(AK9&lt;2,"",IF(AK8&lt;1,"",IF(B24=2,B30-D30,IF(D24=2,D30-B30,""))))</f>
        <v>-7</v>
      </c>
      <c r="AH25" s="42" t="str">
        <f>IF(AK9&lt;2,"",IF(AK8&lt;2,"",IF(E24=2,E30-G30,IF(G24=2,G30-E30,""))))</f>
        <v/>
      </c>
      <c r="AI25" s="42">
        <f>IF(AK9&lt;2,"",IF(AK8&lt;3,"",IF(H24=2,H30-J30,IF(J24=2,J30-H30,""))))</f>
        <v>-19</v>
      </c>
      <c r="AJ25" s="42" t="str">
        <f>IF(AK9&lt;2,"",IF(AK8&lt;4,"",IF(K24=2,K30-M30,IF(M24=2,M30-K30,""))))</f>
        <v/>
      </c>
      <c r="AK25" s="42" t="str">
        <f>IF(AK9&lt;2,"",IF(AK8&lt;5,"",IF(N24=2,N30-P30,IF(P24=2,P30-N30,""))))</f>
        <v/>
      </c>
      <c r="AL25" s="42">
        <f>IF(AK9&lt;2,"",IF(AK8&lt;6,"",IF(Q24=2,Q30-S30,IF(S24=2,S30-Q30,""))))</f>
        <v>-13</v>
      </c>
      <c r="AM25" s="42" t="str">
        <f>IF(AK9&lt;2,"",IF(AK8&lt;7,"",IF(T24=2,T30-V30,IF(V24=2,V30-T30,""))))</f>
        <v/>
      </c>
      <c r="AN25" s="42" t="str">
        <f>IF(AK9&lt;2,"",IF(AK8&lt;8,"",IF(W24=2,W30-Y30,IF(Y24=2,Y30-W30,""))))</f>
        <v/>
      </c>
      <c r="AO25" s="42" t="str">
        <f>IF(AK9&lt;2,"",IF(AK8&lt;9,"",IF(Z24=2,Z30-AB30,IF(AB24=2,AB30-Z30,""))))</f>
        <v/>
      </c>
      <c r="AP25" s="42" t="str">
        <f>IF(AK9&lt;2,"",IF(AK8&lt;10,"",IF(AC24=2,AC30-AE30,IF(AE24=2,AE30-AC30,""))))</f>
        <v/>
      </c>
      <c r="AQ25" s="38">
        <f>SUM(AG25:AP25)</f>
        <v>-39</v>
      </c>
    </row>
    <row r="26" spans="1:48" ht="15" x14ac:dyDescent="0.25">
      <c r="A26" s="3" t="str">
        <f>IF(AK7&gt;1,"Game 2","")</f>
        <v/>
      </c>
      <c r="B26" s="43">
        <v>21</v>
      </c>
      <c r="C26" s="44" t="s">
        <v>60</v>
      </c>
      <c r="D26" s="45">
        <v>24</v>
      </c>
      <c r="E26" s="43"/>
      <c r="F26" s="44" t="str">
        <f>IF(AK8&gt;1,IF(AK7&gt;1,"/",""),"")</f>
        <v/>
      </c>
      <c r="G26" s="45"/>
      <c r="H26" s="43">
        <v>18</v>
      </c>
      <c r="I26" s="44" t="str">
        <f>IF(AK8&gt;2,IF(AK7&gt;1,"/",""),"")</f>
        <v/>
      </c>
      <c r="J26" s="45">
        <v>26</v>
      </c>
      <c r="K26" s="43"/>
      <c r="L26" s="44" t="str">
        <f>IF(AK8&gt;3,IF(AK7&gt;1,"/",""),"")</f>
        <v/>
      </c>
      <c r="M26" s="45"/>
      <c r="N26" s="43"/>
      <c r="O26" s="44" t="str">
        <f>IF(AK8&gt;4,IF(AK7&gt;1,"/",""),"")</f>
        <v/>
      </c>
      <c r="P26" s="45"/>
      <c r="Q26" s="43"/>
      <c r="R26" s="44" t="str">
        <f>IF(AK8&gt;5,IF(AK7&gt;1,"/",""),"")</f>
        <v/>
      </c>
      <c r="S26" s="45"/>
      <c r="T26" s="43"/>
      <c r="U26" s="44" t="str">
        <f>IF(AK8&gt;6,IF(AK7&gt;1,"/",""),"")</f>
        <v/>
      </c>
      <c r="V26" s="45"/>
      <c r="W26" s="43"/>
      <c r="X26" s="44" t="str">
        <f>IF(AK8&gt;7,IF(AK7&gt;1,"/",""),"")</f>
        <v/>
      </c>
      <c r="Y26" s="45"/>
      <c r="Z26" s="43"/>
      <c r="AA26" s="44" t="str">
        <f>IF(AK8&gt;8,IF(AK7&gt;1,"/",""),"")</f>
        <v/>
      </c>
      <c r="AB26" s="45"/>
      <c r="AC26" s="43"/>
      <c r="AD26" s="44" t="str">
        <f>IF(AK8&gt;9,IF(AK7&gt;1,"/",""),"")</f>
        <v/>
      </c>
      <c r="AE26" s="45"/>
      <c r="AF26" s="36" t="str">
        <f>IF(AK9&gt;2,"Team 3","")</f>
        <v>Team 3</v>
      </c>
      <c r="AG26" s="42">
        <f>IF(AK9&lt;3,"",IF(AK8&lt;1,"",IF(B24=3,B30-D30,IF(D24=3,D30-B30,""))))</f>
        <v>7</v>
      </c>
      <c r="AH26" s="42" t="str">
        <f>IF(AK9&lt;3,"",IF(AK8&lt;2,"",IF(E24=3,E30-G30,IF(G24=3,G30-E30,""))))</f>
        <v/>
      </c>
      <c r="AI26" s="42" t="str">
        <f>IF(AK9&lt;3,"",IF(AK8&lt;3,"",IF(H24=3,H30-J30,IF(J24=3,J30-H30,""))))</f>
        <v/>
      </c>
      <c r="AJ26" s="42">
        <f>IF(AK9&lt;3,"",IF(AK8&lt;4,"",IF(K24=3,K30-M30,IF(M24=3,M30-K30,""))))</f>
        <v>-3</v>
      </c>
      <c r="AK26" s="42">
        <f>IF(AK9&lt;3,"",IF(AK8&lt;5,"",IF(N24=3,N30-P30,IF(P24=3,P30-N30,""))))</f>
        <v>-5</v>
      </c>
      <c r="AL26" s="42" t="str">
        <f>IF(AK9&lt;3,"",IF(AK8&lt;6,"",IF(Q24=3,Q30-S30,IF(S24=3,S30-Q30,""))))</f>
        <v/>
      </c>
      <c r="AM26" s="42" t="str">
        <f>IF(AK9&lt;3,"",IF(AK8&lt;7,"",IF(T24=3,T30-V30,IF(V24=3,V30-T30,""))))</f>
        <v/>
      </c>
      <c r="AN26" s="42" t="str">
        <f>IF(AK9&lt;3,"",IF(AK8&lt;8,"",IF(W24=3,W30-Y30,IF(Y24=3,Y30-W30,""))))</f>
        <v/>
      </c>
      <c r="AO26" s="42" t="str">
        <f>IF(AK9&lt;3,"",IF(AK8&lt;9,"",IF(Z24=3,Z30-AB30,IF(AB24=3,AB30-Z30,""))))</f>
        <v/>
      </c>
      <c r="AP26" s="42" t="str">
        <f>IF(AK9&lt;3,"",IF(AK8&lt;9,"",IF(AC24=3,AC30-AE30,IF(AE24=3,AE30-AC30,""))))</f>
        <v/>
      </c>
      <c r="AQ26" s="38">
        <f>SUM(AG26:AP26)</f>
        <v>-1</v>
      </c>
      <c r="AT26" s="75"/>
      <c r="AU26" s="75"/>
      <c r="AV26" s="75"/>
    </row>
    <row r="27" spans="1:48" ht="15" x14ac:dyDescent="0.25">
      <c r="A27" s="3" t="str">
        <f>IF(AK7&gt;2,"Game 3","")</f>
        <v/>
      </c>
      <c r="B27" s="43"/>
      <c r="C27" s="44" t="s">
        <v>60</v>
      </c>
      <c r="D27" s="45"/>
      <c r="E27" s="43"/>
      <c r="F27" s="44" t="str">
        <f>IF(AK8&gt;1,IF(AK7&gt;2,"/",""),"")</f>
        <v/>
      </c>
      <c r="G27" s="45"/>
      <c r="H27" s="43"/>
      <c r="I27" s="44" t="str">
        <f>IF(AK8&gt;2,IF(AK7&gt;2,"/",""),"")</f>
        <v/>
      </c>
      <c r="J27" s="45"/>
      <c r="K27" s="43"/>
      <c r="L27" s="44" t="str">
        <f>IF(AK8&gt;3,IF(AK7&gt;2,"/",""),"")</f>
        <v/>
      </c>
      <c r="M27" s="45"/>
      <c r="N27" s="43"/>
      <c r="O27" s="44" t="str">
        <f>IF(AK8&gt;4,IF(AK7&gt;2,"/",""),"")</f>
        <v/>
      </c>
      <c r="P27" s="45"/>
      <c r="Q27" s="43"/>
      <c r="R27" s="44" t="str">
        <f>IF(AK8&gt;5,IF(AK7&gt;2,"/",""),"")</f>
        <v/>
      </c>
      <c r="S27" s="45"/>
      <c r="T27" s="43"/>
      <c r="U27" s="44" t="str">
        <f>IF(AK8&gt;6,IF(AK7&gt;2,"/",""),"")</f>
        <v/>
      </c>
      <c r="V27" s="45"/>
      <c r="W27" s="43"/>
      <c r="X27" s="44" t="str">
        <f>IF(AK8&gt;7,IF(AK7&gt;2,"/",""),"")</f>
        <v/>
      </c>
      <c r="Y27" s="45"/>
      <c r="Z27" s="43"/>
      <c r="AA27" s="44" t="str">
        <f>IF(AK8&gt;8,IF(AK7&gt;2,"/",""),"")</f>
        <v/>
      </c>
      <c r="AB27" s="45"/>
      <c r="AC27" s="43"/>
      <c r="AD27" s="44" t="str">
        <f>IF(AK8&gt;9,IF(AK7&gt;2,"/",""),"")</f>
        <v/>
      </c>
      <c r="AE27" s="45"/>
      <c r="AF27" s="36" t="str">
        <f>IF(AK9&gt;3,"Team 4","")</f>
        <v>Team 4</v>
      </c>
      <c r="AG27" s="42" t="str">
        <f>IF(AK9&lt;4,"",IF(AK8&lt;1,"",IF(B24=4,B30-D30,IF(D24=4,D30-B30,""))))</f>
        <v/>
      </c>
      <c r="AH27" s="42">
        <f>IF(AK9&lt;4,"",IF(AK8&lt;2,"",IF(E24=4,E30-G30,IF(G24=4,G30-E30,""))))</f>
        <v>2</v>
      </c>
      <c r="AI27" s="42">
        <f>IF(AK9&lt;4,"",IF(AK8&lt;3,"",IF(H24=4,H30-J30,IF(J24=4,J30-H30,""))))</f>
        <v>19</v>
      </c>
      <c r="AJ27" s="42" t="str">
        <f>IF(AK9&lt;4,"",IF(AK8&lt;4,"",IF(K24=4,K30-M30,IF(M24=4,M30-K30,""))))</f>
        <v/>
      </c>
      <c r="AK27" s="42">
        <f>IF(AK9&lt;4,"",IF(AK8&lt;5,"",IF(N24=4,N30-P30,IF(P24=4,P30-N30,""))))</f>
        <v>5</v>
      </c>
      <c r="AL27" s="42" t="str">
        <f>IF(AK9&lt;4,"",IF(AK8&lt;6,"",IF(Q24=4,Q30-S30,IF(S24=4,S30-Q30,""))))</f>
        <v/>
      </c>
      <c r="AM27" s="42" t="str">
        <f>IF(AK9&lt;4,"",IF(AK8&lt;7,"",IF(T24=4,T30-V30,IF(V24=4,V30-T30,""))))</f>
        <v/>
      </c>
      <c r="AN27" s="42" t="str">
        <f>IF(AK9&lt;4,"",IF(AK8&lt;8,"",IF(W24=4,W30-Y30,IF(Y24=4,Y30-W30,""))))</f>
        <v/>
      </c>
      <c r="AO27" s="42" t="str">
        <f>IF(AK9&lt;4,"",IF(AK8&lt;9,"",IF(Z24=4,Z30-AB30,IF(AB24=4,AB30-Z30,""))))</f>
        <v/>
      </c>
      <c r="AP27" s="42" t="str">
        <f>IF(AK9&lt;4,"",IF(AK8&lt;10,"",IF(AC24=4,AC30-AE30,IF(AE24=4,AE30-AC30,""))))</f>
        <v/>
      </c>
      <c r="AQ27" s="38">
        <f>SUM(AG27:AP27)</f>
        <v>26</v>
      </c>
      <c r="AT27" s="75"/>
      <c r="AU27" s="75"/>
      <c r="AV27" s="75"/>
    </row>
    <row r="28" spans="1:48" ht="15" x14ac:dyDescent="0.25">
      <c r="A28" s="3" t="str">
        <f>IF(AK7&gt;3,"Game 4","")</f>
        <v/>
      </c>
      <c r="B28" s="43"/>
      <c r="C28" s="44" t="s">
        <v>60</v>
      </c>
      <c r="D28" s="45"/>
      <c r="E28" s="43"/>
      <c r="F28" s="44" t="str">
        <f>IF(AK8&gt;1,IF(AK7&gt;3,"/",""),"")</f>
        <v/>
      </c>
      <c r="G28" s="45"/>
      <c r="H28" s="43"/>
      <c r="I28" s="44" t="str">
        <f>IF(AK8&gt;2,IF(AK7&gt;3,"/",""),"")</f>
        <v/>
      </c>
      <c r="J28" s="45"/>
      <c r="K28" s="43"/>
      <c r="L28" s="44" t="str">
        <f>IF(AK8&gt;3,IF(AK7&gt;3,"/",""),"")</f>
        <v/>
      </c>
      <c r="M28" s="45"/>
      <c r="N28" s="43"/>
      <c r="O28" s="44" t="str">
        <f>IF(AK8&gt;4,IF(AK7&gt;3,"/",""),"")</f>
        <v/>
      </c>
      <c r="P28" s="45"/>
      <c r="Q28" s="43"/>
      <c r="R28" s="44" t="str">
        <f>IF(AK8&gt;5,IF(AK7&gt;3,"/",""),"")</f>
        <v/>
      </c>
      <c r="S28" s="45"/>
      <c r="T28" s="43"/>
      <c r="U28" s="44" t="str">
        <f>IF(AK8&gt;6,IF(AK7&gt;3,"/",""),"")</f>
        <v/>
      </c>
      <c r="V28" s="45"/>
      <c r="W28" s="43"/>
      <c r="X28" s="44" t="str">
        <f>IF(AK8&gt;7,IF(AK7&gt;3,"/",""),"")</f>
        <v/>
      </c>
      <c r="Y28" s="45"/>
      <c r="Z28" s="43"/>
      <c r="AA28" s="44" t="str">
        <f>IF(AK8&gt;8,IF(AK7&gt;3,"/",""),"")</f>
        <v/>
      </c>
      <c r="AB28" s="45"/>
      <c r="AC28" s="43"/>
      <c r="AD28" s="44" t="str">
        <f>IF(AK8&gt;9,IF(AK7&gt;3,"/",""),"")</f>
        <v/>
      </c>
      <c r="AE28" s="45"/>
      <c r="AF28" s="36" t="str">
        <f>IF(AK9&gt;4,"Team 5","")</f>
        <v/>
      </c>
      <c r="AG28" s="46" t="str">
        <f>IF(AK9&lt;5,"",IF(AK8&lt;1,"",IF(B24=5,B30-D30,IF(D24=5,D30-B30,""))))</f>
        <v/>
      </c>
      <c r="AH28" s="42" t="str">
        <f>IF(AK9&lt;5,"",IF(AK8&lt;2,"",IF(E24=5,E30-G30,IF(G24=5,G30-E30,""))))</f>
        <v/>
      </c>
      <c r="AI28" s="42" t="str">
        <f>IF(AK9&lt;5,"",IF(AK8&lt;3,"",IF(H24=5,H30-J30,IF(J24=5,J30-H30,""))))</f>
        <v/>
      </c>
      <c r="AJ28" s="42" t="str">
        <f>IF(AK9&lt;5,"",IF(AK8&lt;4,"",IF(K24=5,K30-M30,IF(M24=5,M30-K30,""))))</f>
        <v/>
      </c>
      <c r="AK28" s="42" t="str">
        <f>IF(AK9&lt;5,"",IF(AK8&lt;5,"",IF(N24=5,N30-P30,IF(P24=5,P30-N30,""))))</f>
        <v/>
      </c>
      <c r="AL28" s="42" t="str">
        <f>IF(AK9&lt;5,"",IF(AK8&lt;6,"",IF(Q24=5,Q30-S30,IF(S24=5,S30-Q30,""))))</f>
        <v/>
      </c>
      <c r="AM28" s="42" t="str">
        <f>IF(AK9&lt;5,"",IF(AK8&lt;7,"",IF(T24=5,T30-V30,IF(V24=5,V30-T30,""))))</f>
        <v/>
      </c>
      <c r="AN28" s="42" t="str">
        <f>IF(AK9&lt;5,"",IF(AK8&lt;8,"",IF(W24=5,W30-Y30,IF(Y24=5,Y30-W30,""))))</f>
        <v/>
      </c>
      <c r="AO28" s="42" t="str">
        <f>IF(AK9&lt;5,"",IF(AK8&lt;9,"",IF(Z24=5,Z30-AB30,IF(AB24=5,AB30-Z30,""))))</f>
        <v/>
      </c>
      <c r="AP28" s="42" t="str">
        <f>IF(AK9&lt;5,"",IF(AK8&lt;10,"",IF(AC24=5,AC30-AE30,IF(AE24=5,AE30-AC30,""))))</f>
        <v/>
      </c>
      <c r="AQ28" s="38">
        <f>SUM(AG28:AP28)</f>
        <v>0</v>
      </c>
      <c r="AT28" s="75"/>
      <c r="AU28" s="75"/>
      <c r="AV28" s="75"/>
    </row>
    <row r="29" spans="1:48" ht="15" x14ac:dyDescent="0.25">
      <c r="A29" s="3" t="str">
        <f>IF(AK7&gt;4,"Game 5","")</f>
        <v/>
      </c>
      <c r="B29" s="43"/>
      <c r="C29" s="44" t="s">
        <v>60</v>
      </c>
      <c r="D29" s="45"/>
      <c r="E29" s="43"/>
      <c r="F29" s="44" t="str">
        <f>IF(AK8&gt;1,IF(AK7&gt;4,"/",""),"")</f>
        <v/>
      </c>
      <c r="G29" s="45"/>
      <c r="H29" s="43"/>
      <c r="I29" s="44" t="str">
        <f>IF(AK8&gt;2,IF(AK7&gt;4,"/",""),"")</f>
        <v/>
      </c>
      <c r="J29" s="45"/>
      <c r="K29" s="43"/>
      <c r="L29" s="44" t="str">
        <f>IF(AK8&gt;3,IF(AK7&gt;4,"/",""),"")</f>
        <v/>
      </c>
      <c r="M29" s="45"/>
      <c r="N29" s="43"/>
      <c r="O29" s="44" t="str">
        <f>IF(AK8&gt;4,IF(AK7&gt;4,"/",""),"")</f>
        <v/>
      </c>
      <c r="P29" s="45"/>
      <c r="Q29" s="43"/>
      <c r="R29" s="44" t="str">
        <f>IF(AK8&gt;5,IF(AK7&gt;4,"/",""),"")</f>
        <v/>
      </c>
      <c r="S29" s="45"/>
      <c r="T29" s="43"/>
      <c r="U29" s="44" t="str">
        <f>IF(AK8&gt;6,IF(AK7&gt;4,"/",""),"")</f>
        <v/>
      </c>
      <c r="V29" s="45"/>
      <c r="W29" s="43"/>
      <c r="X29" s="44" t="str">
        <f>IF(AK8&gt;7,IF(AK7&gt;4,"/",""),"")</f>
        <v/>
      </c>
      <c r="Y29" s="45"/>
      <c r="Z29" s="43"/>
      <c r="AA29" s="44" t="str">
        <f>IF(AK8&gt;8,IF(AK7&gt;4,"/",""),"")</f>
        <v/>
      </c>
      <c r="AB29" s="45"/>
      <c r="AC29" s="43"/>
      <c r="AD29" s="44" t="str">
        <f>IF(AK8&gt;9,IF(AK7&gt;4,"/",""),"")</f>
        <v/>
      </c>
      <c r="AE29" s="45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T29" s="75"/>
      <c r="AU29" s="75"/>
      <c r="AV29" s="75"/>
    </row>
    <row r="30" spans="1:48" hidden="1" x14ac:dyDescent="0.25">
      <c r="A30" s="47"/>
      <c r="B30" s="47">
        <f>IF($AK7=5,SUM(B25:B29),IF($AK7=4,SUM(B25:B28),IF($AK7=3,SUM(B25:B27),IF($AK7=2,SUM(B25:B26),B25))))</f>
        <v>22</v>
      </c>
      <c r="C30" s="47"/>
      <c r="D30" s="47">
        <f>IF($AK7=5,SUM(D25:D29),IF($AK7=4,SUM(D25:D28),IF($AK7=3,SUM(D25:D27),IF($AK7=2,SUM(D25:D26),D25))))</f>
        <v>29</v>
      </c>
      <c r="E30" s="47">
        <f>IF($AK7=5,SUM(E25:E29),IF($AK7=4,SUM(E25:E28),IF($AK7=3,SUM(E25:E27),IF($AK7=2,SUM(E25:E26),E25))))</f>
        <v>23</v>
      </c>
      <c r="F30" s="47"/>
      <c r="G30" s="47">
        <f>IF($AK7=5,SUM(G25:G29),IF($AK7=4,SUM(G25:G28),IF($AK7=3,SUM(G25:G27),IF($AK7=2,SUM(G25:G26),G25))))</f>
        <v>25</v>
      </c>
      <c r="H30" s="47">
        <f>IF($AK7=5,SUM(H25:H29),IF($AK7=4,SUM(H25:H28),IF($AK7=3,SUM(H25:H27),IF($AK7=2,SUM(H25:H26),H25))))</f>
        <v>16</v>
      </c>
      <c r="I30" s="47"/>
      <c r="J30" s="47">
        <f>IF($AK7=5,SUM(J25:J29),IF($AK7=4,SUM(J25:J28),IF($AK7=3,SUM(J25:J27),IF($AK7=2,SUM(J25:J26),J25))))</f>
        <v>35</v>
      </c>
      <c r="K30" s="47">
        <f>IF($AK7=5,SUM(K25:K29),IF($AK7=4,SUM(K25:K28),IF($AK7=3,SUM(K25:K27),IF($AK7=2,SUM(K25:K26),K25))))</f>
        <v>27</v>
      </c>
      <c r="L30" s="47"/>
      <c r="M30" s="47">
        <f>IF($AK7=5,SUM(M25:M29),IF($AK7=4,SUM(M25:M28),IF($AK7=3,SUM(M25:M27),IF($AK7=2,SUM(M25:M26),M25))))</f>
        <v>24</v>
      </c>
      <c r="N30" s="47">
        <f>IF($AK7=5,SUM(N25:N29),IF($AK7=4,SUM(N25:N28),IF($AK7=3,SUM(N25:N27),IF($AK7=2,SUM(N25:N26),N25))))</f>
        <v>23</v>
      </c>
      <c r="O30" s="47"/>
      <c r="P30" s="47">
        <f>IF($AK7=5,SUM(P25:P29),IF($AK7=4,SUM(P25:P28),IF($AK7=3,SUM(P25:P27),IF($AK7=2,SUM(P25:P26),P25))))</f>
        <v>28</v>
      </c>
      <c r="Q30" s="47">
        <f>IF($AK7=5,SUM(Q25:Q29),IF($AK7=4,SUM(Q25:Q28),IF($AK7=3,SUM(Q25:Q27),IF($AK7=2,SUM(Q25:Q26),Q25))))</f>
        <v>33</v>
      </c>
      <c r="R30" s="47"/>
      <c r="S30" s="47">
        <f>IF($AK7=5,SUM(S25:S29),IF($AK7=4,SUM(S25:S28),IF($AK7=3,SUM(S25:S27),IF($AK7=2,SUM(S25:S26),S25))))</f>
        <v>20</v>
      </c>
      <c r="T30" s="47">
        <f>IF($AK7=5,SUM(T25:T29),IF($AK7=4,SUM(T25:T28),IF($AK7=3,SUM(T25:T27),IF($AK7=2,SUM(T25:T26),T25))))</f>
        <v>0</v>
      </c>
      <c r="U30" s="47"/>
      <c r="V30" s="47">
        <f>IF($AK7=5,SUM(V25:V29),IF($AK7=4,SUM(V25:V28),IF($AK7=3,SUM(V25:V27),IF($AK7=2,SUM(V25:V26),V25))))</f>
        <v>0</v>
      </c>
      <c r="W30" s="47">
        <f>IF($AK7=5,SUM(W25:W29),IF($AK7=4,SUM(W25:W28),IF($AK7=3,SUM(W25:W27),IF($AK7=2,SUM(W25:W26),W25))))</f>
        <v>0</v>
      </c>
      <c r="X30" s="47"/>
      <c r="Y30" s="47">
        <f>IF($AK7=5,SUM(Y25:Y29),IF($AK7=4,SUM(Y25:Y28),IF($AK7=3,SUM(Y25:Y27),IF($AK7=2,SUM(Y25:Y26),Y25))))</f>
        <v>0</v>
      </c>
      <c r="Z30" s="47">
        <f>IF($AK7=5,SUM(Z25:Z29),IF($AK7=4,SUM(Z25:Z28),IF($AK7=3,SUM(Z25:Z27),IF($AK7=2,SUM(Z25:Z26),Z25))))</f>
        <v>0</v>
      </c>
      <c r="AA30" s="47"/>
      <c r="AB30" s="47">
        <f>IF($AK7=5,SUM(AB25:AB29),IF($AK7=4,SUM(AB25:AB28),IF($AK7=3,SUM(AB25:AB27),IF($AK7=2,SUM(AB25:AB26),AB25))))</f>
        <v>0</v>
      </c>
      <c r="AC30" s="47">
        <f>IF($AK7=5,SUM(AC25:AC29),IF($AK7=4,SUM(AC25:AC28),IF($AK7=3,SUM(AC25:AC27),IF($AK7=2,SUM(AC25:AC26),AC25))))</f>
        <v>0</v>
      </c>
      <c r="AD30" s="47"/>
      <c r="AE30" s="47">
        <f>IF($AK7=5,SUM(AE25:AE29),IF($AK7=4,SUM(AE25:AE28),IF($AK7=3,SUM(AE25:AE27),IF($AK7=2,SUM(AE25:AE26),AE25))))</f>
        <v>0</v>
      </c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T30" s="82"/>
      <c r="AU30" s="82"/>
      <c r="AV30" s="82"/>
    </row>
    <row r="31" spans="1:48" s="48" customFormat="1" ht="12.75" hidden="1" customHeight="1" x14ac:dyDescent="0.25">
      <c r="A31" s="48" t="s">
        <v>61</v>
      </c>
      <c r="B31" s="49">
        <f>IF(AND(B25&gt;D25,$AK8&gt;0,ISNUMBER(B25),ISNUMBER(D25)),1,0)</f>
        <v>0</v>
      </c>
      <c r="C31" s="49"/>
      <c r="D31" s="50">
        <f>IF(AND(D25&gt;B25,$AK8&gt;0,ISNUMBER(B25),ISNUMBER(D25)),1,0)</f>
        <v>1</v>
      </c>
      <c r="E31" s="49">
        <f>IF(AND(E25&gt;G25,$AK8&gt;1,ISNUMBER(E25),ISNUMBER(G25)),1,0)</f>
        <v>0</v>
      </c>
      <c r="F31" s="49"/>
      <c r="G31" s="50">
        <f>IF(AND(G25&gt;E25,$AK8&gt;1,ISNUMBER(E25),ISNUMBER(G25)),1,0)</f>
        <v>1</v>
      </c>
      <c r="H31" s="49">
        <f>IF(AND(H25&gt;J25,$AK8&gt;2,ISNUMBER(H25),ISNUMBER(J25)),1,0)</f>
        <v>0</v>
      </c>
      <c r="I31" s="49"/>
      <c r="J31" s="50">
        <f>IF(AND(J25&gt;H25,$AK8&gt;2,ISNUMBER(H25),ISNUMBER(J25)),1,0)</f>
        <v>1</v>
      </c>
      <c r="K31" s="49">
        <f>IF(AND(K25&gt;M25,$AK8&gt;3,ISNUMBER(K25),ISNUMBER(M25)),1,0)</f>
        <v>1</v>
      </c>
      <c r="L31" s="49"/>
      <c r="M31" s="50">
        <f>IF(AND(M25&gt;K25,$AK8&gt;3,ISNUMBER(K25),ISNUMBER(M25)),1,0)</f>
        <v>0</v>
      </c>
      <c r="N31" s="49">
        <f>IF(AND(N25&gt;P25,$AK8&gt;4,ISNUMBER(N25),ISNUMBER(P25)),1,0)</f>
        <v>0</v>
      </c>
      <c r="O31" s="49"/>
      <c r="P31" s="50">
        <f>IF(AND(P25&gt;N25,$AK8&gt;4,ISNUMBER(N25),ISNUMBER(P25)),1,0)</f>
        <v>1</v>
      </c>
      <c r="Q31" s="49">
        <f>IF(AND(Q25&gt;S25,$AK8&gt;5,ISNUMBER(Q25),ISNUMBER(S25)),1,0)</f>
        <v>1</v>
      </c>
      <c r="R31" s="49"/>
      <c r="S31" s="50">
        <f>IF(AND(S25&gt;Q25,$AK8&gt;5,ISNUMBER(Q25),ISNUMBER(S25)),1,0)</f>
        <v>0</v>
      </c>
      <c r="T31" s="49">
        <f>IF(AND(T25&gt;V25,$AK8&gt;6,ISNUMBER(T25),ISNUMBER(V25)),1,0)</f>
        <v>0</v>
      </c>
      <c r="U31" s="49"/>
      <c r="V31" s="50">
        <f>IF(AND(V25&gt;T25,$AK8&gt;6,ISNUMBER(T25),ISNUMBER(V25)),1,0)</f>
        <v>0</v>
      </c>
      <c r="W31" s="49">
        <f>IF(AND(W25&gt;Y25,$AK8&gt;7,ISNUMBER(W25),ISNUMBER(Y25)),1,0)</f>
        <v>0</v>
      </c>
      <c r="X31" s="49"/>
      <c r="Y31" s="50">
        <f>IF(AND(Y25&gt;W25,$AK8&gt;7,ISNUMBER(W25),ISNUMBER(Y25)),1,0)</f>
        <v>0</v>
      </c>
      <c r="Z31" s="49">
        <f>IF(AND(Z25&gt;AB25,$AK8&gt;8,ISNUMBER(Z25),ISNUMBER(AB25)),1,0)</f>
        <v>0</v>
      </c>
      <c r="AA31" s="49"/>
      <c r="AB31" s="50">
        <f>IF(AND(AB25&gt;Z25,$AK8&gt;8,ISNUMBER(Z25),ISNUMBER(AB25)),1,0)</f>
        <v>0</v>
      </c>
      <c r="AC31" s="49">
        <f>IF(AND(AC25&gt;AE25,$AK8&gt;9,ISNUMBER(AC25),ISNUMBER(AE25)),1,0)</f>
        <v>0</v>
      </c>
      <c r="AD31" s="49"/>
      <c r="AE31" s="50">
        <f>IF(AND(AE25&gt;AC25,$AK8&gt;9,ISNUMBER(AC25),ISNUMBER(AE25)),1,0)</f>
        <v>0</v>
      </c>
    </row>
    <row r="32" spans="1:48" s="48" customFormat="1" ht="12.75" hidden="1" customHeight="1" x14ac:dyDescent="0.25">
      <c r="A32" s="48" t="s">
        <v>62</v>
      </c>
      <c r="B32" s="49">
        <f>IF(AND(B26&gt;D26,$AK8&gt;0,$AK7&gt;1,ISNUMBER(B26),ISNUMBER(D26)),1,0)</f>
        <v>0</v>
      </c>
      <c r="C32" s="49"/>
      <c r="D32" s="50">
        <f>IF(AND(D26&gt;B26,$AK8&gt;0,$AK7&gt;1,ISNUMBER(B26),ISNUMBER(D26)),1,0)</f>
        <v>0</v>
      </c>
      <c r="E32" s="49">
        <f>IF(AND(E26&gt;G26,$AK8&gt;1,$AK7&gt;1,ISNUMBER(E26),ISNUMBER(G26)),1,0)</f>
        <v>0</v>
      </c>
      <c r="F32" s="49"/>
      <c r="G32" s="50">
        <f>IF(AND(G26&gt;E26,$AK8&gt;1,$AK7&gt;1,ISNUMBER(E26),ISNUMBER(G26)),1,0)</f>
        <v>0</v>
      </c>
      <c r="H32" s="49">
        <f>IF(AND(H26&gt;J26,$AK8&gt;2,$AK7&gt;1,ISNUMBER(H26),ISNUMBER(J26)),1,0)</f>
        <v>0</v>
      </c>
      <c r="I32" s="49"/>
      <c r="J32" s="50">
        <f>IF(AND(J26&gt;H26,$AK8&gt;2,$AK7&gt;1,ISNUMBER(H26),ISNUMBER(J26)),1,0)</f>
        <v>0</v>
      </c>
      <c r="K32" s="49">
        <f>IF(AND(K26&gt;M26,$AK8&gt;3,$AK7&gt;1,ISNUMBER(K26),ISNUMBER(M26)),1,0)</f>
        <v>0</v>
      </c>
      <c r="L32" s="49"/>
      <c r="M32" s="50">
        <f>IF(AND(M26&gt;K26,$AK8&gt;3,$AK7&gt;1,ISNUMBER(K26),ISNUMBER(M26)),1,0)</f>
        <v>0</v>
      </c>
      <c r="N32" s="49">
        <f>IF(AND(N26&gt;P26,$AK8&gt;4,$AK7&gt;1,ISNUMBER(N26),ISNUMBER(P26)),1,0)</f>
        <v>0</v>
      </c>
      <c r="O32" s="49"/>
      <c r="P32" s="50">
        <f>IF(AND(P26&gt;N26,$AK8&gt;4,$AK7&gt;1,ISNUMBER(N26),ISNUMBER(P26)),1,0)</f>
        <v>0</v>
      </c>
      <c r="Q32" s="49">
        <f>IF(AND(Q26&gt;S26,$AK8&gt;5,$AK7&gt;1,ISNUMBER(Q26),ISNUMBER(S26)),1,0)</f>
        <v>0</v>
      </c>
      <c r="R32" s="49"/>
      <c r="S32" s="50">
        <f>IF(AND(S26&gt;Q26,$AK8&gt;5,$AK7&gt;1,ISNUMBER(Q26),ISNUMBER(S26)),1,0)</f>
        <v>0</v>
      </c>
      <c r="T32" s="49">
        <f>IF(AND(T26&gt;V26,$AK8&gt;6,$AK7&gt;1,ISNUMBER(T26),ISNUMBER(V26)),1,0)</f>
        <v>0</v>
      </c>
      <c r="U32" s="49"/>
      <c r="V32" s="50">
        <f>IF(AND(V26&gt;T26,$AK8&gt;6,$AK7&gt;1,ISNUMBER(T26),ISNUMBER(V26)),1,0)</f>
        <v>0</v>
      </c>
      <c r="W32" s="49">
        <f>IF(AND(W26&gt;Y26,$AK8&gt;7,$AK7&gt;1,ISNUMBER(W26),ISNUMBER(Y26)),1,0)</f>
        <v>0</v>
      </c>
      <c r="X32" s="49"/>
      <c r="Y32" s="50">
        <f>IF(AND(Y26&gt;W26,$AK8&gt;7,$AK7&gt;1,ISNUMBER(W26),ISNUMBER(Y26)),1,0)</f>
        <v>0</v>
      </c>
      <c r="Z32" s="49">
        <f>IF(AND(Z26&gt;AB26,$AK8&gt;8,$AK7&gt;1,ISNUMBER(Z26),ISNUMBER(AB26)),1,0)</f>
        <v>0</v>
      </c>
      <c r="AA32" s="49"/>
      <c r="AB32" s="50">
        <f>IF(AND(AB26&gt;Z26,$AK8&gt;8,$AK7&gt;1,ISNUMBER(Z26),ISNUMBER(AB26)),1,0)</f>
        <v>0</v>
      </c>
      <c r="AC32" s="49">
        <f>IF(AND(AC26&gt;AE26,$AK8&gt;9,$AK7&gt;1,ISNUMBER(AC26),ISNUMBER(AE26)),1,0)</f>
        <v>0</v>
      </c>
      <c r="AD32" s="49"/>
      <c r="AE32" s="50">
        <f>IF(AND(AE26&gt;AC26,$AK8&gt;9,$AK7&gt;1,ISNUMBER(AC26),ISNUMBER(AE26)),1,0)</f>
        <v>0</v>
      </c>
    </row>
    <row r="33" spans="1:33" s="48" customFormat="1" ht="12.75" hidden="1" customHeight="1" x14ac:dyDescent="0.25">
      <c r="A33" s="48" t="s">
        <v>63</v>
      </c>
      <c r="B33" s="49">
        <f>IF(AND(B27&gt;D27,$AK8&gt;0,$AK7&gt;2,ISNUMBER(B27),ISNUMBER(D27)),1,0)</f>
        <v>0</v>
      </c>
      <c r="C33" s="49"/>
      <c r="D33" s="50">
        <f>IF(AND(D27&gt;B27,$AK8&gt;0,$AK7&gt;2,ISNUMBER(B27),ISNUMBER(D27)),1,0)</f>
        <v>0</v>
      </c>
      <c r="E33" s="49">
        <f>IF(AND(E27&gt;G27,$AK8&gt;1,$AK7&gt;2,ISNUMBER(E27),ISNUMBER(G27)),1,0)</f>
        <v>0</v>
      </c>
      <c r="F33" s="49"/>
      <c r="G33" s="50">
        <f>IF(AND(G27&gt;E27,$AK8&gt;1,$AK7&gt;2,ISNUMBER(E27),ISNUMBER(G27)),1,0)</f>
        <v>0</v>
      </c>
      <c r="H33" s="49">
        <f>IF(AND(H27&gt;J27,$AK8&gt;2,$AK7&gt;2,ISNUMBER(H27),ISNUMBER(J27)),1,0)</f>
        <v>0</v>
      </c>
      <c r="I33" s="49"/>
      <c r="J33" s="50">
        <f>IF(AND(J27&gt;H27,$AK8&gt;2,$AK7&gt;2,ISNUMBER(H27),ISNUMBER(J27)),1,0)</f>
        <v>0</v>
      </c>
      <c r="K33" s="49">
        <f>IF(AND(K27&gt;M27,$AK8&gt;3,$AK7&gt;2,ISNUMBER(K27),ISNUMBER(M27)),1,0)</f>
        <v>0</v>
      </c>
      <c r="L33" s="49"/>
      <c r="M33" s="50">
        <f>IF(AND(M27&gt;K27,$AK8&gt;3,$AK7&gt;2,ISNUMBER(K27),ISNUMBER(M27)),1,0)</f>
        <v>0</v>
      </c>
      <c r="N33" s="49">
        <f>IF(AND(N27&gt;P27,$AK8&gt;4,$AK7&gt;2,ISNUMBER(N27),ISNUMBER(P27)),1,0)</f>
        <v>0</v>
      </c>
      <c r="O33" s="49"/>
      <c r="P33" s="50">
        <f>IF(AND(P27&gt;N27,$AK8&gt;4,$AK7&gt;2,ISNUMBER(N27),ISNUMBER(P27)),1,0)</f>
        <v>0</v>
      </c>
      <c r="Q33" s="49">
        <f>IF(AND(Q27&gt;S27,$AK8&gt;5,$AK7&gt;2,ISNUMBER(Q27),ISNUMBER(S27)),1,0)</f>
        <v>0</v>
      </c>
      <c r="R33" s="49"/>
      <c r="S33" s="50">
        <f>IF(AND(S27&gt;Q27,$AK8&gt;5,$AK7&gt;2,ISNUMBER(Q27),ISNUMBER(S27)),1,0)</f>
        <v>0</v>
      </c>
      <c r="T33" s="49">
        <f>IF(AND(T27&gt;V27,$AK8&gt;6,$AK7&gt;2,ISNUMBER(T27),ISNUMBER(V27)),1,0)</f>
        <v>0</v>
      </c>
      <c r="U33" s="49"/>
      <c r="V33" s="50">
        <f>IF(AND(V27&gt;T27,$AK8&gt;6,$AK7&gt;2,ISNUMBER(T27),ISNUMBER(V27)),1,0)</f>
        <v>0</v>
      </c>
      <c r="W33" s="49">
        <f>IF(AND(W27&gt;Y27,$AK8&gt;7,$AK7&gt;2,ISNUMBER(W27),ISNUMBER(Y27)),1,0)</f>
        <v>0</v>
      </c>
      <c r="X33" s="49"/>
      <c r="Y33" s="50">
        <f>IF(AND(Y27&gt;W27,$AK8&gt;7,$AK7&gt;2,ISNUMBER(W27),ISNUMBER(Y27)),1,0)</f>
        <v>0</v>
      </c>
      <c r="Z33" s="49">
        <f>IF(AND(Z27&gt;AB27,$AK8&gt;8,$AK7&gt;2,ISNUMBER(Z27),ISNUMBER(AB27)),1,0)</f>
        <v>0</v>
      </c>
      <c r="AA33" s="49"/>
      <c r="AB33" s="50">
        <f>IF(AND(AB27&gt;Z27,$AK8&gt;8,$AK7&gt;2,ISNUMBER(Z27),ISNUMBER(AB27)),1,0)</f>
        <v>0</v>
      </c>
      <c r="AC33" s="49">
        <f>IF(AND(AC27&gt;AE27,$AK8&gt;9,$AK7&gt;2,ISNUMBER(AC27),ISNUMBER(AE27)),1,0)</f>
        <v>0</v>
      </c>
      <c r="AD33" s="49"/>
      <c r="AE33" s="50">
        <f>IF(AND(AE27&gt;AC27,$AK8&gt;9,$AK7&gt;2,ISNUMBER(AC27),ISNUMBER(AE27)),1,0)</f>
        <v>0</v>
      </c>
    </row>
    <row r="34" spans="1:33" s="48" customFormat="1" ht="12.75" hidden="1" customHeight="1" x14ac:dyDescent="0.25">
      <c r="A34" s="48" t="s">
        <v>64</v>
      </c>
      <c r="B34" s="49">
        <f>IF(AND(B28&gt;D28,$AK8&gt;0,$AK7&gt;3,ISNUMBER(B28),ISNUMBER(D28)),1,0)</f>
        <v>0</v>
      </c>
      <c r="C34" s="49"/>
      <c r="D34" s="50">
        <f>IF(AND(D28&gt;B28,$AK8&gt;0,$AK7&gt;3,ISNUMBER(B28),ISNUMBER(D28)),1,0)</f>
        <v>0</v>
      </c>
      <c r="E34" s="49">
        <f>IF(AND(E28&gt;G28,$AK8&gt;1,$AK7&gt;3,ISNUMBER(E28),ISNUMBER(G28)),1,0)</f>
        <v>0</v>
      </c>
      <c r="F34" s="49"/>
      <c r="G34" s="50">
        <f>IF(AND(G28&gt;E28,$AK8&gt;1,$AK7&gt;3,ISNUMBER(E28),ISNUMBER(G28)),1,0)</f>
        <v>0</v>
      </c>
      <c r="H34" s="49">
        <f>IF(AND(H28&gt;J28,$AK8&gt;2,$AK7&gt;3,ISNUMBER(H28),ISNUMBER(J28)),1,0)</f>
        <v>0</v>
      </c>
      <c r="I34" s="49"/>
      <c r="J34" s="50">
        <f>IF(AND(J28&gt;H28,$AK8&gt;2,$AK7&gt;3,ISNUMBER(H28),ISNUMBER(J28)),1,0)</f>
        <v>0</v>
      </c>
      <c r="K34" s="49">
        <f>IF(AND(K28&gt;M28,$AK8&gt;3,$AK7&gt;3,ISNUMBER(K28),ISNUMBER(M28)),1,0)</f>
        <v>0</v>
      </c>
      <c r="L34" s="49"/>
      <c r="M34" s="50">
        <f>IF(AND(M28&gt;K28,$AK8&gt;3,$AK7&gt;3,ISNUMBER(K28),ISNUMBER(M28)),1,0)</f>
        <v>0</v>
      </c>
      <c r="N34" s="49">
        <f>IF(AND(N28&gt;P28,$AK8&gt;4,$AK7&gt;3,ISNUMBER(N28),ISNUMBER(P28)),1,0)</f>
        <v>0</v>
      </c>
      <c r="O34" s="49"/>
      <c r="P34" s="50">
        <f>IF(AND(P28&gt;N28,$AK8&gt;4,$AK7&gt;3,ISNUMBER(N28),ISNUMBER(P28)),1,0)</f>
        <v>0</v>
      </c>
      <c r="Q34" s="49">
        <f>IF(AND(Q28&gt;S28,$AK8&gt;5,$AK7&gt;3,ISNUMBER(Q28),ISNUMBER(S28)),1,0)</f>
        <v>0</v>
      </c>
      <c r="R34" s="49"/>
      <c r="S34" s="50">
        <f>IF(AND(S28&gt;Q28,$AK8&gt;5,$AK7&gt;3,ISNUMBER(Q28),ISNUMBER(S28)),1,0)</f>
        <v>0</v>
      </c>
      <c r="T34" s="49">
        <f>IF(AND(T28&gt;V28,$AK8&gt;6,$AK7&gt;3,ISNUMBER(T28),ISNUMBER(V28)),1,0)</f>
        <v>0</v>
      </c>
      <c r="U34" s="49"/>
      <c r="V34" s="50">
        <f>IF(AND(V28&gt;T28,$AK8&gt;6,$AK7&gt;3,ISNUMBER(T28),ISNUMBER(V28)),1,0)</f>
        <v>0</v>
      </c>
      <c r="W34" s="49">
        <f>IF(AND(W28&gt;Y28,$AK8&gt;7,$AK7&gt;3,ISNUMBER(W28),ISNUMBER(Y28)),1,0)</f>
        <v>0</v>
      </c>
      <c r="X34" s="49"/>
      <c r="Y34" s="50">
        <f>IF(AND(Y28&gt;W28,$AK8&gt;7,$AK7&gt;3,ISNUMBER(W28),ISNUMBER(Y28)),1,0)</f>
        <v>0</v>
      </c>
      <c r="Z34" s="49">
        <f>IF(AND(Z28&gt;AB28,$AK8&gt;8,$AK7&gt;3,ISNUMBER(Z28),ISNUMBER(AB28)),1,0)</f>
        <v>0</v>
      </c>
      <c r="AA34" s="49"/>
      <c r="AB34" s="50">
        <f>IF(AND(AB28&gt;Z28,$AK8&gt;8,$AK7&gt;3,ISNUMBER(Z28),ISNUMBER(AB28)),1,0)</f>
        <v>0</v>
      </c>
      <c r="AC34" s="49">
        <f>IF(AND(AC28&gt;AE28,$AK8&gt;9,$AK7&gt;3,ISNUMBER(AC28),ISNUMBER(AE28)),1,0)</f>
        <v>0</v>
      </c>
      <c r="AD34" s="49"/>
      <c r="AE34" s="50">
        <f>IF(AND(AE28&gt;AC28,$AK8&gt;9,$AK7&gt;3,ISNUMBER(AC28),ISNUMBER(AE28)),1,0)</f>
        <v>0</v>
      </c>
    </row>
    <row r="35" spans="1:33" s="48" customFormat="1" ht="12.75" hidden="1" customHeight="1" x14ac:dyDescent="0.25">
      <c r="A35" s="48" t="s">
        <v>65</v>
      </c>
      <c r="B35" s="49">
        <f>IF(AND(B29&gt;D29,$AK8&gt;0,$AK7&gt;4,ISNUMBER(B29),ISNUMBER(D29)),1,0)</f>
        <v>0</v>
      </c>
      <c r="C35" s="49"/>
      <c r="D35" s="50">
        <f>IF(AND(D29&gt;B29,$AK8&gt;0,$AK7&gt;4,ISNUMBER(B29),ISNUMBER(D29)),1,0)</f>
        <v>0</v>
      </c>
      <c r="E35" s="49">
        <f>IF(AND(E29&gt;G29,$AK8&gt;1,$AK7&gt;4,ISNUMBER(E29),ISNUMBER(G29)),1,0)</f>
        <v>0</v>
      </c>
      <c r="F35" s="49"/>
      <c r="G35" s="50">
        <f>IF(AND(G29&gt;E29,$AK8&gt;1,$AK7&gt;4,ISNUMBER(E29),ISNUMBER(G29)),1,0)</f>
        <v>0</v>
      </c>
      <c r="H35" s="49">
        <f>IF(AND(H29&gt;J29,$AK8&gt;2,$AK7&gt;4,ISNUMBER(H29),ISNUMBER(J29)),1,0)</f>
        <v>0</v>
      </c>
      <c r="I35" s="49"/>
      <c r="J35" s="50">
        <f>IF(AND(J29&gt;H29,$AK8&gt;2,$AK7&gt;4,ISNUMBER(H29),ISNUMBER(J29)),1,0)</f>
        <v>0</v>
      </c>
      <c r="K35" s="49">
        <f>IF(AND(K29&gt;M29,$AK8&gt;3,$AK7&gt;4,ISNUMBER(K29),ISNUMBER(M29)),1,0)</f>
        <v>0</v>
      </c>
      <c r="L35" s="49"/>
      <c r="M35" s="50">
        <f>IF(AND(M29&gt;K29,$AK8&gt;3,$AK7&gt;4,ISNUMBER(K29),ISNUMBER(M29)),1,0)</f>
        <v>0</v>
      </c>
      <c r="N35" s="49">
        <f>IF(AND(N29&gt;P29,$AK8&gt;4,$AK7&gt;4,ISNUMBER(N29),ISNUMBER(P29)),1,0)</f>
        <v>0</v>
      </c>
      <c r="O35" s="49"/>
      <c r="P35" s="50">
        <f>IF(AND(P29&gt;N29,$AK8&gt;4,$AK7&gt;4,ISNUMBER(N29),ISNUMBER(P29)),1,0)</f>
        <v>0</v>
      </c>
      <c r="Q35" s="49">
        <f>IF(AND(Q29&gt;S29,$AK8&gt;5,$AK7&gt;4,ISNUMBER(Q29),ISNUMBER(S29)),1,0)</f>
        <v>0</v>
      </c>
      <c r="R35" s="49"/>
      <c r="S35" s="50">
        <f>IF(AND(S29&gt;Q29,$AK8&gt;5,$AK7&gt;4,ISNUMBER(Q29),ISNUMBER(S29)),1,0)</f>
        <v>0</v>
      </c>
      <c r="T35" s="49">
        <f>IF(AND(T29&gt;V29,$AK8&gt;6,$AK7&gt;4,ISNUMBER(T29),ISNUMBER(V29)),1,0)</f>
        <v>0</v>
      </c>
      <c r="U35" s="49"/>
      <c r="V35" s="50">
        <f>IF(AND(V29&gt;T29,$AK8&gt;6,$AK7&gt;4,ISNUMBER(T29),ISNUMBER(V29)),1,0)</f>
        <v>0</v>
      </c>
      <c r="W35" s="49">
        <f>IF(AND(W29&gt;Y29,$AK8&gt;7,$AK7&gt;4,ISNUMBER(W29),ISNUMBER(Y29)),1,0)</f>
        <v>0</v>
      </c>
      <c r="X35" s="49"/>
      <c r="Y35" s="50">
        <f>IF(AND(Y29&gt;W29,$AK8&gt;7,$AK7&gt;4,ISNUMBER(W29),ISNUMBER(Y29)),1,0)</f>
        <v>0</v>
      </c>
      <c r="Z35" s="49">
        <f>IF(AND(Z29&gt;AB29,$AK8&gt;8,$AK7&gt;4,ISNUMBER(Z29),ISNUMBER(AB29)),1,0)</f>
        <v>0</v>
      </c>
      <c r="AA35" s="49"/>
      <c r="AB35" s="50">
        <f>IF(AND(AB29&gt;Z29,$AK8&gt;8,$AK7&gt;4,ISNUMBER(Z29),ISNUMBER(AB29)),1,0)</f>
        <v>0</v>
      </c>
      <c r="AC35" s="49">
        <f>IF(AND(AC29&gt;AE29,$AK8&gt;9,$AK7&gt;4,ISNUMBER(AC29),ISNUMBER(AE29)),1,0)</f>
        <v>0</v>
      </c>
      <c r="AD35" s="49"/>
      <c r="AE35" s="50">
        <f>IF(AND(AE29&gt;AC29,$AK8&gt;9,$AK7&gt;4,ISNUMBER(AC29),ISNUMBER(AE29)),1,0)</f>
        <v>0</v>
      </c>
    </row>
    <row r="36" spans="1:33" s="48" customFormat="1" ht="38.25" hidden="1" customHeight="1" x14ac:dyDescent="0.25">
      <c r="A36" s="51" t="s">
        <v>66</v>
      </c>
      <c r="B36" s="48">
        <f>SUM(B31:B35)</f>
        <v>0</v>
      </c>
      <c r="D36" s="52">
        <f>SUM(D31:D35)</f>
        <v>1</v>
      </c>
      <c r="E36" s="48">
        <f>SUM(E31:E35)</f>
        <v>0</v>
      </c>
      <c r="G36" s="52">
        <f>SUM(G31:G35)</f>
        <v>1</v>
      </c>
      <c r="H36" s="48">
        <f>SUM(H31:H35)</f>
        <v>0</v>
      </c>
      <c r="J36" s="52">
        <f>SUM(J31:J35)</f>
        <v>1</v>
      </c>
      <c r="K36" s="48">
        <f>SUM(K31:K35)</f>
        <v>1</v>
      </c>
      <c r="M36" s="52">
        <f>SUM(M31:M35)</f>
        <v>0</v>
      </c>
      <c r="N36" s="48">
        <f>SUM(N31:N35)</f>
        <v>0</v>
      </c>
      <c r="P36" s="52">
        <f>SUM(P31:P35)</f>
        <v>1</v>
      </c>
      <c r="Q36" s="48">
        <f>SUM(Q31:Q35)</f>
        <v>1</v>
      </c>
      <c r="S36" s="52">
        <f>SUM(S31:S35)</f>
        <v>0</v>
      </c>
      <c r="T36" s="48">
        <f>SUM(T31:T35)</f>
        <v>0</v>
      </c>
      <c r="V36" s="52">
        <f>SUM(V31:V35)</f>
        <v>0</v>
      </c>
      <c r="W36" s="48">
        <f>SUM(W31:W35)</f>
        <v>0</v>
      </c>
      <c r="Y36" s="52">
        <f>SUM(Y31:Y35)</f>
        <v>0</v>
      </c>
      <c r="Z36" s="48">
        <f>SUM(Z31:Z35)</f>
        <v>0</v>
      </c>
      <c r="AB36" s="52">
        <f>SUM(AB31:AB35)</f>
        <v>0</v>
      </c>
      <c r="AC36" s="48">
        <f>SUM(AC31:AC35)</f>
        <v>0</v>
      </c>
      <c r="AE36" s="52">
        <f>SUM(AE31:AE35)</f>
        <v>0</v>
      </c>
    </row>
    <row r="37" spans="1:33" s="48" customFormat="1" ht="25.5" hidden="1" customHeight="1" x14ac:dyDescent="0.25">
      <c r="A37" s="51" t="s">
        <v>67</v>
      </c>
      <c r="B37" s="48">
        <f>IF(B36&gt;D36,IF(C71=AK7,1,IF(C71=AK7-1,1,0)),0)</f>
        <v>0</v>
      </c>
      <c r="C37" s="48">
        <f>B37+D37</f>
        <v>1</v>
      </c>
      <c r="D37" s="52">
        <f>IF(D36&gt;B36,IF(C71=AK7,1,IF(C71=AK7-1,1,0)),0)</f>
        <v>1</v>
      </c>
      <c r="E37" s="48">
        <f>IF(E36&gt;G36,IF(F71=AK7,1,IF(F71=AK7-1,1,0)),0)</f>
        <v>0</v>
      </c>
      <c r="F37" s="48">
        <f>E37+G37</f>
        <v>1</v>
      </c>
      <c r="G37" s="52">
        <f>IF(G36&gt;E36,IF(F71=AK7,1,IF(F71=AK7-1,1,0)),0)</f>
        <v>1</v>
      </c>
      <c r="H37" s="48">
        <f>IF(H36&gt;J36,IF(I71=AK7,1,IF(I71=AK7-1,1,0)),0)</f>
        <v>0</v>
      </c>
      <c r="I37" s="48">
        <f>H37+J37</f>
        <v>1</v>
      </c>
      <c r="J37" s="52">
        <f>IF(J36&gt;H36,IF(I71=AK7,1,IF(I71=AK7-1,1,0)),0)</f>
        <v>1</v>
      </c>
      <c r="K37" s="48">
        <f>IF(K36&gt;M36,IF(L71=AK7,1,IF(L71=AK7-1,1,0)),0)</f>
        <v>1</v>
      </c>
      <c r="L37" s="48">
        <f>K37+M37</f>
        <v>1</v>
      </c>
      <c r="M37" s="52">
        <f>IF(M36&gt;K36,IF(L71=AK7,1,IF(L71=AK7-1,1,0)),0)</f>
        <v>0</v>
      </c>
      <c r="N37" s="48">
        <f>IF(N36&gt;P36,IF(O71=AK7,1,IF(O71=AK7-1,1,0)),0)</f>
        <v>0</v>
      </c>
      <c r="O37" s="48">
        <f>N37+P37</f>
        <v>1</v>
      </c>
      <c r="P37" s="52">
        <f>IF(P36&gt;N36,IF(O71=AK7,1,IF(O71=AK7-1,1,0)),0)</f>
        <v>1</v>
      </c>
      <c r="Q37" s="48">
        <f>IF(Q36&gt;S36,IF(R71=AK7,1,IF(R71=AK7-1,1,0)),0)</f>
        <v>1</v>
      </c>
      <c r="R37" s="48">
        <f>Q37+S37</f>
        <v>1</v>
      </c>
      <c r="S37" s="52">
        <f>IF(S36&gt;Q36,IF(R71=AK7,1,IF(R71=AK7-1,1,0)),0)</f>
        <v>0</v>
      </c>
      <c r="T37" s="48">
        <f>IF(T36&gt;V36,IF(U71=AK7,1,IF(U71=AK7-1,1,0)),0)</f>
        <v>0</v>
      </c>
      <c r="U37" s="48">
        <f>T37+V37</f>
        <v>0</v>
      </c>
      <c r="V37" s="52">
        <f>IF(V36&gt;T36,IF(U71=AK7,1,IF(U71=AK7-1,1,0)),0)</f>
        <v>0</v>
      </c>
      <c r="W37" s="48">
        <f>IF(W36&gt;Y36,IF(X71=AK7,1,IF(X71=AK7-1,1,0)),0)</f>
        <v>0</v>
      </c>
      <c r="X37" s="48">
        <f>W37+Y37</f>
        <v>0</v>
      </c>
      <c r="Y37" s="52">
        <f>IF(Y36&gt;W36,IF(X71=AK7,1,IF(X71=AK7-1,1,0)),0)</f>
        <v>0</v>
      </c>
      <c r="Z37" s="48">
        <f>IF(Z36&gt;AB36,IF(AA71=AK7,1,IF(AA71=AK7-1,1,0)),0)</f>
        <v>0</v>
      </c>
      <c r="AA37" s="48">
        <f>Z37+AB37</f>
        <v>0</v>
      </c>
      <c r="AB37" s="52">
        <f>IF(AB36&gt;Z36,IF(AA71=AK7,1,IF(AA71=AK7-1,1,0)),0)</f>
        <v>0</v>
      </c>
      <c r="AC37" s="48">
        <f>IF(AC36&gt;AE36,IF(AD71=AK7,1,IF(AD71=AK7-1,1,0)),0)</f>
        <v>0</v>
      </c>
      <c r="AD37" s="48">
        <f>AC37+AE37</f>
        <v>0</v>
      </c>
      <c r="AE37" s="52">
        <f>IF(AE36&gt;AC36,IF(AD71=AK7,1,IF(AD71=AK7-1,1,0)),0)</f>
        <v>0</v>
      </c>
    </row>
    <row r="38" spans="1:33" s="48" customFormat="1" ht="25.5" hidden="1" customHeight="1" x14ac:dyDescent="0.25">
      <c r="A38" s="51"/>
      <c r="D38" s="52"/>
      <c r="G38" s="52"/>
      <c r="J38" s="52"/>
      <c r="M38" s="52"/>
      <c r="P38" s="52"/>
      <c r="S38" s="52"/>
      <c r="V38" s="52"/>
      <c r="Y38" s="52"/>
      <c r="AB38" s="52"/>
      <c r="AE38" s="52"/>
    </row>
    <row r="39" spans="1:33" s="48" customFormat="1" ht="12.75" hidden="1" customHeight="1" x14ac:dyDescent="0.25">
      <c r="A39" s="48" t="s">
        <v>68</v>
      </c>
      <c r="B39" s="48">
        <f>IF(B31=1,B25,0)</f>
        <v>0</v>
      </c>
      <c r="D39" s="52">
        <f t="shared" ref="D39:E43" si="0">IF(D31=1,D25,0)</f>
        <v>29</v>
      </c>
      <c r="E39" s="48">
        <f t="shared" si="0"/>
        <v>0</v>
      </c>
      <c r="G39" s="52">
        <f t="shared" ref="G39:H43" si="1">IF(G31=1,G25,0)</f>
        <v>25</v>
      </c>
      <c r="H39" s="48">
        <f t="shared" si="1"/>
        <v>0</v>
      </c>
      <c r="J39" s="52">
        <f t="shared" ref="J39:K43" si="2">IF(J31=1,J25,0)</f>
        <v>35</v>
      </c>
      <c r="K39" s="48">
        <f t="shared" si="2"/>
        <v>27</v>
      </c>
      <c r="M39" s="52">
        <f t="shared" ref="M39:N43" si="3">IF(M31=1,M25,0)</f>
        <v>0</v>
      </c>
      <c r="N39" s="48">
        <f t="shared" si="3"/>
        <v>0</v>
      </c>
      <c r="P39" s="52">
        <f t="shared" ref="P39:Q43" si="4">IF(P31=1,P25,0)</f>
        <v>28</v>
      </c>
      <c r="Q39" s="48">
        <f t="shared" si="4"/>
        <v>33</v>
      </c>
      <c r="S39" s="52">
        <f t="shared" ref="S39:T43" si="5">IF(S31=1,S25,0)</f>
        <v>0</v>
      </c>
      <c r="T39" s="48">
        <f t="shared" si="5"/>
        <v>0</v>
      </c>
      <c r="V39" s="52">
        <f t="shared" ref="V39:W43" si="6">IF(V31=1,V25,0)</f>
        <v>0</v>
      </c>
      <c r="W39" s="48">
        <f t="shared" si="6"/>
        <v>0</v>
      </c>
      <c r="Y39" s="52">
        <f t="shared" ref="Y39:Z43" si="7">IF(Y31=1,Y25,0)</f>
        <v>0</v>
      </c>
      <c r="Z39" s="48">
        <f t="shared" si="7"/>
        <v>0</v>
      </c>
      <c r="AB39" s="52">
        <f t="shared" ref="AB39:AC43" si="8">IF(AB31=1,AB25,0)</f>
        <v>0</v>
      </c>
      <c r="AC39" s="48">
        <f t="shared" si="8"/>
        <v>0</v>
      </c>
      <c r="AE39" s="52">
        <f>IF(AE31=1,AE25,0)</f>
        <v>0</v>
      </c>
    </row>
    <row r="40" spans="1:33" s="48" customFormat="1" ht="12.75" hidden="1" customHeight="1" x14ac:dyDescent="0.25">
      <c r="A40" s="48" t="s">
        <v>69</v>
      </c>
      <c r="B40" s="48">
        <f>IF(B32=1,B26,0)</f>
        <v>0</v>
      </c>
      <c r="D40" s="52">
        <f t="shared" si="0"/>
        <v>0</v>
      </c>
      <c r="E40" s="48">
        <f t="shared" si="0"/>
        <v>0</v>
      </c>
      <c r="G40" s="52">
        <f t="shared" si="1"/>
        <v>0</v>
      </c>
      <c r="H40" s="48">
        <f t="shared" si="1"/>
        <v>0</v>
      </c>
      <c r="J40" s="52">
        <f t="shared" si="2"/>
        <v>0</v>
      </c>
      <c r="K40" s="48">
        <f t="shared" si="2"/>
        <v>0</v>
      </c>
      <c r="M40" s="52">
        <f t="shared" si="3"/>
        <v>0</v>
      </c>
      <c r="N40" s="48">
        <f t="shared" si="3"/>
        <v>0</v>
      </c>
      <c r="P40" s="52">
        <f t="shared" si="4"/>
        <v>0</v>
      </c>
      <c r="Q40" s="48">
        <f t="shared" si="4"/>
        <v>0</v>
      </c>
      <c r="S40" s="52">
        <f t="shared" si="5"/>
        <v>0</v>
      </c>
      <c r="T40" s="48">
        <f t="shared" si="5"/>
        <v>0</v>
      </c>
      <c r="V40" s="52">
        <f t="shared" si="6"/>
        <v>0</v>
      </c>
      <c r="W40" s="48">
        <f t="shared" si="6"/>
        <v>0</v>
      </c>
      <c r="Y40" s="52">
        <f t="shared" si="7"/>
        <v>0</v>
      </c>
      <c r="Z40" s="48">
        <f t="shared" si="7"/>
        <v>0</v>
      </c>
      <c r="AB40" s="52">
        <f t="shared" si="8"/>
        <v>0</v>
      </c>
      <c r="AC40" s="48">
        <f t="shared" si="8"/>
        <v>0</v>
      </c>
      <c r="AE40" s="52">
        <f>IF(AE32=1,AE26,0)</f>
        <v>0</v>
      </c>
    </row>
    <row r="41" spans="1:33" s="48" customFormat="1" ht="12.75" hidden="1" customHeight="1" x14ac:dyDescent="0.25">
      <c r="A41" s="48" t="s">
        <v>70</v>
      </c>
      <c r="B41" s="48">
        <f>IF(B33=1,B27,0)</f>
        <v>0</v>
      </c>
      <c r="D41" s="52">
        <f t="shared" si="0"/>
        <v>0</v>
      </c>
      <c r="E41" s="48">
        <f t="shared" si="0"/>
        <v>0</v>
      </c>
      <c r="G41" s="52">
        <f t="shared" si="1"/>
        <v>0</v>
      </c>
      <c r="H41" s="48">
        <f t="shared" si="1"/>
        <v>0</v>
      </c>
      <c r="J41" s="52">
        <f t="shared" si="2"/>
        <v>0</v>
      </c>
      <c r="K41" s="48">
        <f t="shared" si="2"/>
        <v>0</v>
      </c>
      <c r="M41" s="52">
        <f t="shared" si="3"/>
        <v>0</v>
      </c>
      <c r="N41" s="48">
        <f t="shared" si="3"/>
        <v>0</v>
      </c>
      <c r="P41" s="52">
        <f t="shared" si="4"/>
        <v>0</v>
      </c>
      <c r="Q41" s="48">
        <f t="shared" si="4"/>
        <v>0</v>
      </c>
      <c r="S41" s="52">
        <f t="shared" si="5"/>
        <v>0</v>
      </c>
      <c r="T41" s="48">
        <f t="shared" si="5"/>
        <v>0</v>
      </c>
      <c r="V41" s="52">
        <f t="shared" si="6"/>
        <v>0</v>
      </c>
      <c r="W41" s="48">
        <f t="shared" si="6"/>
        <v>0</v>
      </c>
      <c r="Y41" s="52">
        <f t="shared" si="7"/>
        <v>0</v>
      </c>
      <c r="Z41" s="48">
        <f t="shared" si="7"/>
        <v>0</v>
      </c>
      <c r="AB41" s="52">
        <f t="shared" si="8"/>
        <v>0</v>
      </c>
      <c r="AC41" s="48">
        <f t="shared" si="8"/>
        <v>0</v>
      </c>
      <c r="AE41" s="52">
        <f>IF(AE33=1,AE27,0)</f>
        <v>0</v>
      </c>
    </row>
    <row r="42" spans="1:33" s="48" customFormat="1" ht="12.75" hidden="1" customHeight="1" x14ac:dyDescent="0.25">
      <c r="A42" s="48" t="s">
        <v>71</v>
      </c>
      <c r="B42" s="48">
        <f>IF(B34=1,B28,0)</f>
        <v>0</v>
      </c>
      <c r="D42" s="52">
        <f t="shared" si="0"/>
        <v>0</v>
      </c>
      <c r="E42" s="48">
        <f t="shared" si="0"/>
        <v>0</v>
      </c>
      <c r="G42" s="52">
        <f t="shared" si="1"/>
        <v>0</v>
      </c>
      <c r="H42" s="48">
        <f t="shared" si="1"/>
        <v>0</v>
      </c>
      <c r="J42" s="52">
        <f t="shared" si="2"/>
        <v>0</v>
      </c>
      <c r="K42" s="48">
        <f t="shared" si="2"/>
        <v>0</v>
      </c>
      <c r="M42" s="52">
        <f t="shared" si="3"/>
        <v>0</v>
      </c>
      <c r="N42" s="48">
        <f t="shared" si="3"/>
        <v>0</v>
      </c>
      <c r="P42" s="52">
        <f t="shared" si="4"/>
        <v>0</v>
      </c>
      <c r="Q42" s="48">
        <f t="shared" si="4"/>
        <v>0</v>
      </c>
      <c r="S42" s="52">
        <f t="shared" si="5"/>
        <v>0</v>
      </c>
      <c r="T42" s="48">
        <f t="shared" si="5"/>
        <v>0</v>
      </c>
      <c r="V42" s="52">
        <f t="shared" si="6"/>
        <v>0</v>
      </c>
      <c r="W42" s="48">
        <f t="shared" si="6"/>
        <v>0</v>
      </c>
      <c r="Y42" s="52">
        <f t="shared" si="7"/>
        <v>0</v>
      </c>
      <c r="Z42" s="48">
        <f t="shared" si="7"/>
        <v>0</v>
      </c>
      <c r="AB42" s="52">
        <f t="shared" si="8"/>
        <v>0</v>
      </c>
      <c r="AC42" s="48">
        <f t="shared" si="8"/>
        <v>0</v>
      </c>
      <c r="AE42" s="52">
        <f>IF(AE34=1,AE28,0)</f>
        <v>0</v>
      </c>
    </row>
    <row r="43" spans="1:33" s="48" customFormat="1" ht="12.75" hidden="1" customHeight="1" x14ac:dyDescent="0.25">
      <c r="A43" s="48" t="s">
        <v>72</v>
      </c>
      <c r="B43" s="48">
        <f>IF(B35=1,B29,0)</f>
        <v>0</v>
      </c>
      <c r="D43" s="52">
        <f t="shared" si="0"/>
        <v>0</v>
      </c>
      <c r="E43" s="48">
        <f t="shared" si="0"/>
        <v>0</v>
      </c>
      <c r="G43" s="52">
        <f t="shared" si="1"/>
        <v>0</v>
      </c>
      <c r="H43" s="48">
        <f t="shared" si="1"/>
        <v>0</v>
      </c>
      <c r="J43" s="52">
        <f t="shared" si="2"/>
        <v>0</v>
      </c>
      <c r="K43" s="48">
        <f t="shared" si="2"/>
        <v>0</v>
      </c>
      <c r="M43" s="52">
        <f t="shared" si="3"/>
        <v>0</v>
      </c>
      <c r="N43" s="48">
        <f t="shared" si="3"/>
        <v>0</v>
      </c>
      <c r="P43" s="52">
        <f t="shared" si="4"/>
        <v>0</v>
      </c>
      <c r="Q43" s="48">
        <f t="shared" si="4"/>
        <v>0</v>
      </c>
      <c r="S43" s="52">
        <f t="shared" si="5"/>
        <v>0</v>
      </c>
      <c r="T43" s="48">
        <f t="shared" si="5"/>
        <v>0</v>
      </c>
      <c r="V43" s="52">
        <f t="shared" si="6"/>
        <v>0</v>
      </c>
      <c r="W43" s="48">
        <f t="shared" si="6"/>
        <v>0</v>
      </c>
      <c r="Y43" s="52">
        <f t="shared" si="7"/>
        <v>0</v>
      </c>
      <c r="Z43" s="48">
        <f t="shared" si="7"/>
        <v>0</v>
      </c>
      <c r="AB43" s="52">
        <f t="shared" si="8"/>
        <v>0</v>
      </c>
      <c r="AC43" s="48">
        <f t="shared" si="8"/>
        <v>0</v>
      </c>
      <c r="AE43" s="52">
        <f>IF(AE35=1,AE29,0)</f>
        <v>0</v>
      </c>
    </row>
    <row r="44" spans="1:33" s="48" customFormat="1" ht="38.25" hidden="1" customHeight="1" x14ac:dyDescent="0.25">
      <c r="A44" s="51" t="s">
        <v>73</v>
      </c>
      <c r="B44" s="48">
        <f>SUM(B39:D43)</f>
        <v>29</v>
      </c>
      <c r="D44" s="52"/>
      <c r="E44" s="48">
        <f>SUM(E39:G43)</f>
        <v>25</v>
      </c>
      <c r="G44" s="52"/>
      <c r="H44" s="48">
        <f>SUM(H39:J43)</f>
        <v>35</v>
      </c>
      <c r="J44" s="52"/>
      <c r="K44" s="48">
        <f>SUM(K39:M43)</f>
        <v>27</v>
      </c>
      <c r="M44" s="52"/>
      <c r="N44" s="48">
        <f>SUM(N39:P43)</f>
        <v>28</v>
      </c>
      <c r="P44" s="52"/>
      <c r="Q44" s="48">
        <f>SUM(Q39:S43)</f>
        <v>33</v>
      </c>
      <c r="S44" s="52"/>
      <c r="T44" s="48">
        <f>SUM(T39:V43)</f>
        <v>0</v>
      </c>
      <c r="V44" s="52"/>
      <c r="W44" s="48">
        <f>SUM(W39:Y43)</f>
        <v>0</v>
      </c>
      <c r="Y44" s="52"/>
      <c r="Z44" s="48">
        <f>SUM(Z39:AB43)</f>
        <v>0</v>
      </c>
      <c r="AB44" s="52"/>
      <c r="AC44" s="48">
        <f>SUM(AC39:AE43)</f>
        <v>0</v>
      </c>
      <c r="AE44" s="52"/>
    </row>
    <row r="45" spans="1:33" s="48" customFormat="1" ht="38.25" hidden="1" customHeight="1" x14ac:dyDescent="0.25">
      <c r="A45" s="48" t="s">
        <v>74</v>
      </c>
      <c r="D45" s="52"/>
      <c r="G45" s="52"/>
      <c r="J45" s="52"/>
      <c r="M45" s="52"/>
      <c r="P45" s="52"/>
      <c r="S45" s="52"/>
      <c r="V45" s="52"/>
      <c r="Y45" s="52"/>
      <c r="AB45" s="52"/>
      <c r="AE45" s="52"/>
      <c r="AF45" s="51" t="s">
        <v>75</v>
      </c>
      <c r="AG45" s="48" t="s">
        <v>76</v>
      </c>
    </row>
    <row r="46" spans="1:33" s="48" customFormat="1" ht="12.75" hidden="1" customHeight="1" x14ac:dyDescent="0.25">
      <c r="A46" s="48" t="s">
        <v>77</v>
      </c>
      <c r="B46" s="48">
        <f>IF(B24=1,IF(B37=1,1,0),0)</f>
        <v>0</v>
      </c>
      <c r="D46" s="52">
        <f>IF(D24=1,IF(D37=1,1,0),0)</f>
        <v>0</v>
      </c>
      <c r="E46" s="48">
        <f>IF(E24=1,IF(E37=1,1,0),0)</f>
        <v>0</v>
      </c>
      <c r="G46" s="52">
        <f>IF(G24=1,IF(G37=1,1,0),0)</f>
        <v>0</v>
      </c>
      <c r="H46" s="48">
        <f>IF(H24=1,IF(H37=1,1,0),0)</f>
        <v>0</v>
      </c>
      <c r="J46" s="52">
        <f>IF(J24=1,IF(J37=1,1,0),0)</f>
        <v>0</v>
      </c>
      <c r="K46" s="48">
        <f>IF(K24=1,IF(K37=1,1,0),0)</f>
        <v>1</v>
      </c>
      <c r="M46" s="52">
        <f>IF(M24=1,IF(M37=1,1,0),0)</f>
        <v>0</v>
      </c>
      <c r="N46" s="48">
        <f>IF(N24=1,IF(N37=1,1,0),0)</f>
        <v>0</v>
      </c>
      <c r="P46" s="52">
        <f>IF(P24=1,IF(P37=1,1,0),0)</f>
        <v>0</v>
      </c>
      <c r="Q46" s="48">
        <f>IF(Q24=1,IF(Q37=1,1,0),0)</f>
        <v>1</v>
      </c>
      <c r="S46" s="52">
        <f>IF(S24=1,IF(S37=1,1,0),0)</f>
        <v>0</v>
      </c>
      <c r="T46" s="48">
        <f>IF(T24=1,IF(T37=1,1,0),0)</f>
        <v>0</v>
      </c>
      <c r="V46" s="52">
        <f>IF(V24=1,IF(V37=1,1,0),0)</f>
        <v>0</v>
      </c>
      <c r="W46" s="48">
        <f>IF(W24=1,IF(W37=1,1,0),0)</f>
        <v>0</v>
      </c>
      <c r="Y46" s="52">
        <f>IF(Y24=1,IF(Y37=1,1,0),0)</f>
        <v>0</v>
      </c>
      <c r="Z46" s="48">
        <f>IF(Z24=1,IF(Z37=1,1,0),0)</f>
        <v>0</v>
      </c>
      <c r="AB46" s="52">
        <f>IF(AB24=1,IF(AB37=1,1,0),0)</f>
        <v>0</v>
      </c>
      <c r="AC46" s="48">
        <f>IF(AC24=1,IF(AC37=1,1,0),0)</f>
        <v>0</v>
      </c>
      <c r="AE46" s="52">
        <f>IF(AE24=1,IF(AE37=1,1,0),0)</f>
        <v>0</v>
      </c>
      <c r="AF46" s="48">
        <f>SUM(B46:AE46)</f>
        <v>2</v>
      </c>
      <c r="AG46" s="48">
        <f>AF52-AF46</f>
        <v>1</v>
      </c>
    </row>
    <row r="47" spans="1:33" s="48" customFormat="1" ht="12.75" hidden="1" customHeight="1" x14ac:dyDescent="0.25">
      <c r="A47" s="48" t="s">
        <v>78</v>
      </c>
      <c r="B47" s="48">
        <f>IF(B24=2,IF(B37=1,1,0),0)</f>
        <v>0</v>
      </c>
      <c r="D47" s="52">
        <f>IF(D24=2,IF(D37=1,1,0),0)</f>
        <v>0</v>
      </c>
      <c r="E47" s="48">
        <f>IF(E24=2,IF(E37=1,1,0),0)</f>
        <v>0</v>
      </c>
      <c r="G47" s="52">
        <f>IF(G24=2,IF(G37=1,1,0),0)</f>
        <v>0</v>
      </c>
      <c r="H47" s="48">
        <f>IF(H24=2,IF(H37=1,1,0),0)</f>
        <v>0</v>
      </c>
      <c r="J47" s="52">
        <f>IF(J24=2,IF(J37=1,1,0),0)</f>
        <v>0</v>
      </c>
      <c r="K47" s="48">
        <f>IF(K24=2,IF(K37=1,1,0),0)</f>
        <v>0</v>
      </c>
      <c r="M47" s="52">
        <f>IF(M24=2,IF(M37=1,1,0),0)</f>
        <v>0</v>
      </c>
      <c r="N47" s="48">
        <f>IF(N24=2,IF(N37=1,1,0),0)</f>
        <v>0</v>
      </c>
      <c r="P47" s="52">
        <f>IF(P24=2,IF(P37=1,1,0),0)</f>
        <v>0</v>
      </c>
      <c r="Q47" s="48">
        <f>IF(Q24=2,IF(Q37=1,1,0),0)</f>
        <v>0</v>
      </c>
      <c r="S47" s="52">
        <f>IF(S24=2,IF(S37=1,1,0),0)</f>
        <v>0</v>
      </c>
      <c r="T47" s="48">
        <f>IF(T24=2,IF(T37=1,1,0),0)</f>
        <v>0</v>
      </c>
      <c r="V47" s="52">
        <f>IF(V24=2,IF(V37=1,1,0),0)</f>
        <v>0</v>
      </c>
      <c r="W47" s="48">
        <f>IF(W24=2,IF(W37=1,1,0),0)</f>
        <v>0</v>
      </c>
      <c r="Y47" s="52">
        <f>IF(Y24=2,IF(Y37=1,1,0),0)</f>
        <v>0</v>
      </c>
      <c r="Z47" s="48">
        <f>IF(Z24=2,IF(Z37=1,1,0),0)</f>
        <v>0</v>
      </c>
      <c r="AB47" s="52">
        <f>IF(AB24=2,IF(AB37=1,1,0),0)</f>
        <v>0</v>
      </c>
      <c r="AC47" s="48">
        <f>IF(AC24=2,IF(AC37=1,1,0),0)</f>
        <v>0</v>
      </c>
      <c r="AE47" s="52">
        <f>IF(AE24=2,IF(AE37=1,1,0),0)</f>
        <v>0</v>
      </c>
      <c r="AF47" s="48">
        <f>SUM(B47:AE47)</f>
        <v>0</v>
      </c>
      <c r="AG47" s="48">
        <f>AF53-AF47</f>
        <v>3</v>
      </c>
    </row>
    <row r="48" spans="1:33" s="48" customFormat="1" ht="12.75" hidden="1" customHeight="1" x14ac:dyDescent="0.25">
      <c r="A48" s="48" t="s">
        <v>79</v>
      </c>
      <c r="B48" s="48">
        <f>IF(B24=3,IF(B37=1,1,0),0)</f>
        <v>0</v>
      </c>
      <c r="D48" s="52">
        <f>IF(D24=3,IF(D37=1,1,0),0)</f>
        <v>1</v>
      </c>
      <c r="E48" s="48">
        <f>IF(E24=3,IF(E37=1,1,0),0)</f>
        <v>0</v>
      </c>
      <c r="G48" s="52">
        <f>IF(G24=3,IF(G37=1,1,0),0)</f>
        <v>0</v>
      </c>
      <c r="H48" s="48">
        <f>IF(H24=3,IF(H37=1,1,0),0)</f>
        <v>0</v>
      </c>
      <c r="J48" s="52">
        <f>IF(J24=3,IF(J37=1,1,0),0)</f>
        <v>0</v>
      </c>
      <c r="K48" s="48">
        <f>IF(K24=3,IF(K37=1,1,0),0)</f>
        <v>0</v>
      </c>
      <c r="M48" s="52">
        <f>IF(M24=3,IF(M37=1,1,0),0)</f>
        <v>0</v>
      </c>
      <c r="N48" s="48">
        <f>IF(N24=3,IF(N37=1,1,0),0)</f>
        <v>0</v>
      </c>
      <c r="P48" s="52">
        <f>IF(P24=3,IF(P37=1,1,0),0)</f>
        <v>0</v>
      </c>
      <c r="Q48" s="48">
        <f>IF(Q24=3,IF(Q37=1,1,0),0)</f>
        <v>0</v>
      </c>
      <c r="S48" s="52">
        <f>IF(S24=3,IF(S37=1,1,0),0)</f>
        <v>0</v>
      </c>
      <c r="T48" s="48">
        <f>IF(T24=3,IF(T37=1,1,0),0)</f>
        <v>0</v>
      </c>
      <c r="V48" s="52">
        <f>IF(V24=3,IF(V37=1,1,0),0)</f>
        <v>0</v>
      </c>
      <c r="W48" s="48">
        <f>IF(W24=3,IF(W37=1,1,0),0)</f>
        <v>0</v>
      </c>
      <c r="Y48" s="52">
        <f>IF(Y24=3,IF(Y37=1,1,0),0)</f>
        <v>0</v>
      </c>
      <c r="Z48" s="48">
        <f>IF(Z24=3,IF(Z37=1,1,0),0)</f>
        <v>0</v>
      </c>
      <c r="AB48" s="52">
        <f>IF(AB24=3,IF(AB37=1,1,0),0)</f>
        <v>0</v>
      </c>
      <c r="AC48" s="48">
        <f>IF(AC24=3,IF(AC37=1,1,0),0)</f>
        <v>0</v>
      </c>
      <c r="AE48" s="52">
        <f>IF(AE24=3,IF(AE37=1,1,0),0)</f>
        <v>0</v>
      </c>
      <c r="AF48" s="48">
        <f>SUM(B48:AE48)</f>
        <v>1</v>
      </c>
      <c r="AG48" s="48">
        <f>AF54-AF48</f>
        <v>2</v>
      </c>
    </row>
    <row r="49" spans="1:37" s="48" customFormat="1" ht="12.75" hidden="1" customHeight="1" x14ac:dyDescent="0.25">
      <c r="A49" s="48" t="s">
        <v>80</v>
      </c>
      <c r="B49" s="48">
        <f>IF(B24=4,IF(B37=1,1,0),0)</f>
        <v>0</v>
      </c>
      <c r="D49" s="52">
        <f>IF(D24=4,IF(D37=1,1,0),0)</f>
        <v>0</v>
      </c>
      <c r="E49" s="48">
        <f>IF(E24=4,IF(E37=1,1,0),0)</f>
        <v>0</v>
      </c>
      <c r="G49" s="52">
        <f>IF(G24=4,IF(G37=1,1,0),0)</f>
        <v>1</v>
      </c>
      <c r="H49" s="48">
        <f>IF(H24=4,IF(H37=1,1,0),0)</f>
        <v>0</v>
      </c>
      <c r="J49" s="52">
        <f>IF(J24=4,IF(J37=1,1,0),0)</f>
        <v>1</v>
      </c>
      <c r="K49" s="48">
        <f>IF(K24=4,IF(K37=1,1,0),0)</f>
        <v>0</v>
      </c>
      <c r="M49" s="52">
        <f>IF(M24=4,IF(M37=1,1,0),0)</f>
        <v>0</v>
      </c>
      <c r="N49" s="48">
        <f>IF(N24=4,IF(N37=1,1,0),0)</f>
        <v>0</v>
      </c>
      <c r="P49" s="52">
        <f>IF(P24=4,IF(P37=1,1,0),0)</f>
        <v>1</v>
      </c>
      <c r="Q49" s="48">
        <f>IF(Q24=4,IF(Q37=1,1,0),0)</f>
        <v>0</v>
      </c>
      <c r="S49" s="52">
        <f>IF(S24=4,IF(S37=1,1,0),0)</f>
        <v>0</v>
      </c>
      <c r="T49" s="48">
        <f>IF(T24=4,IF(T37=1,1,0),0)</f>
        <v>0</v>
      </c>
      <c r="V49" s="52">
        <f>IF(V24=4,IF(V37=1,1,0),0)</f>
        <v>0</v>
      </c>
      <c r="W49" s="48">
        <f>IF(W24=4,IF(W37=1,1,0),0)</f>
        <v>0</v>
      </c>
      <c r="Y49" s="52">
        <f>IF(Y24=4,IF(Y37=1,1,0),0)</f>
        <v>0</v>
      </c>
      <c r="Z49" s="48">
        <f>IF(Z24=4,IF(Z37=1,1,0),0)</f>
        <v>0</v>
      </c>
      <c r="AB49" s="52">
        <f>IF(AB24=4,IF(AB37=1,1,0),0)</f>
        <v>0</v>
      </c>
      <c r="AC49" s="48">
        <f>IF(AC24=4,IF(AC37=1,1,0),0)</f>
        <v>0</v>
      </c>
      <c r="AE49" s="52">
        <f>IF(AE24=4,IF(AE37=1,1,0),0)</f>
        <v>0</v>
      </c>
      <c r="AF49" s="48">
        <f>SUM(B49:AE49)</f>
        <v>3</v>
      </c>
      <c r="AG49" s="48">
        <f>AF55-AF49</f>
        <v>0</v>
      </c>
    </row>
    <row r="50" spans="1:37" s="48" customFormat="1" ht="12.75" hidden="1" customHeight="1" x14ac:dyDescent="0.25">
      <c r="A50" s="48" t="s">
        <v>81</v>
      </c>
      <c r="B50" s="48">
        <f>IF(B24=5,IF(B37=1,1,0),0)</f>
        <v>0</v>
      </c>
      <c r="D50" s="52">
        <f>IF(D24=5,IF(D37=1,1,0),0)</f>
        <v>0</v>
      </c>
      <c r="E50" s="48">
        <f>IF(E24=5,IF(E37=1,1,0),0)</f>
        <v>0</v>
      </c>
      <c r="G50" s="52">
        <f>IF(G24=5,IF(G37=1,1,0),0)</f>
        <v>0</v>
      </c>
      <c r="H50" s="48">
        <f>IF(H24=5,IF(H37=1,1,0),0)</f>
        <v>0</v>
      </c>
      <c r="J50" s="52">
        <f>IF(J24=5,IF(J37=1,1,0),0)</f>
        <v>0</v>
      </c>
      <c r="K50" s="48">
        <f>IF(K24=5,IF(K37=1,1,0),0)</f>
        <v>0</v>
      </c>
      <c r="M50" s="52">
        <f>IF(M24=5,IF(M37=1,1,0),0)</f>
        <v>0</v>
      </c>
      <c r="N50" s="48">
        <f>IF(N24=5,IF(N37=1,1,0),0)</f>
        <v>0</v>
      </c>
      <c r="P50" s="52">
        <f>IF(P24=5,IF(P37=1,1,0),0)</f>
        <v>0</v>
      </c>
      <c r="Q50" s="48">
        <f>IF(Q24=5,IF(Q37=1,1,0),0)</f>
        <v>0</v>
      </c>
      <c r="S50" s="52">
        <f>IF(S24=5,IF(S37=1,1,0),0)</f>
        <v>0</v>
      </c>
      <c r="T50" s="48">
        <f>IF(T24=5,IF(T37=1,1,0),0)</f>
        <v>0</v>
      </c>
      <c r="V50" s="52">
        <f>IF(V24=5,IF(V37=1,1,0),0)</f>
        <v>0</v>
      </c>
      <c r="W50" s="48">
        <f>IF(W24=5,IF(W37=1,1,0),0)</f>
        <v>0</v>
      </c>
      <c r="Y50" s="52">
        <f>IF(Y24=5,IF(Y37=1,1,0),0)</f>
        <v>0</v>
      </c>
      <c r="Z50" s="48">
        <f>IF(Z24=5,IF(Z37=1,1,0),0)</f>
        <v>0</v>
      </c>
      <c r="AB50" s="52">
        <f>IF(AB24=5,IF(AB37=1,1,0),0)</f>
        <v>0</v>
      </c>
      <c r="AC50" s="48">
        <f>IF(AC24=5,IF(AC37=1,1,0),0)</f>
        <v>0</v>
      </c>
      <c r="AE50" s="52">
        <f>IF(AE24=5,IF(AE37=1,1,0),0)</f>
        <v>0</v>
      </c>
      <c r="AF50" s="48">
        <f>SUM(B50:AE50)</f>
        <v>0</v>
      </c>
      <c r="AG50" s="48">
        <f>AF56-AF50</f>
        <v>0</v>
      </c>
    </row>
    <row r="51" spans="1:37" s="48" customFormat="1" ht="38.25" hidden="1" customHeight="1" x14ac:dyDescent="0.25">
      <c r="A51" s="51"/>
      <c r="D51" s="52"/>
      <c r="G51" s="52"/>
      <c r="J51" s="52"/>
      <c r="M51" s="52"/>
      <c r="P51" s="52"/>
      <c r="S51" s="52"/>
      <c r="V51" s="52"/>
      <c r="Y51" s="52"/>
      <c r="AB51" s="52"/>
      <c r="AE51" s="52"/>
      <c r="AF51" s="51" t="s">
        <v>82</v>
      </c>
    </row>
    <row r="52" spans="1:37" s="48" customFormat="1" ht="12.75" hidden="1" customHeight="1" x14ac:dyDescent="0.25">
      <c r="A52" s="48" t="s">
        <v>83</v>
      </c>
      <c r="B52" s="48">
        <f>IF(B24=1,IF(C37=1,1,0),0)</f>
        <v>0</v>
      </c>
      <c r="D52" s="52">
        <f>IF(D24=1,IF(C37=1,1,0),0)</f>
        <v>0</v>
      </c>
      <c r="E52" s="48">
        <f>IF(E24=1,IF(F37=1,1,0),0)</f>
        <v>1</v>
      </c>
      <c r="G52" s="52">
        <f>IF(G24=1,IF(F37=1,1,0),0)</f>
        <v>0</v>
      </c>
      <c r="H52" s="48">
        <f>IF(H24=1,IF(I37=1,1,0),0)</f>
        <v>0</v>
      </c>
      <c r="J52" s="52">
        <f>IF(J24=1,IF(I37=1,1,0),0)</f>
        <v>0</v>
      </c>
      <c r="K52" s="48">
        <f>IF(K24=1,IF(L37=1,1,0),0)</f>
        <v>1</v>
      </c>
      <c r="M52" s="52">
        <f>IF(M24=1,IF(L37=1,1,0),0)</f>
        <v>0</v>
      </c>
      <c r="N52" s="48">
        <f>IF(N24=1,IF(O37=1,1,0),0)</f>
        <v>0</v>
      </c>
      <c r="P52" s="52">
        <f>IF(P24=1,IF(O37=1,1,0),0)</f>
        <v>0</v>
      </c>
      <c r="Q52" s="48">
        <f>IF(Q24=1,IF(R37=1,1,0),0)</f>
        <v>1</v>
      </c>
      <c r="S52" s="52">
        <f>IF(S24=1,IF(R37=1,1,0),0)</f>
        <v>0</v>
      </c>
      <c r="T52" s="48">
        <f>IF(T24=1,IF(U37=1,1,0),0)</f>
        <v>0</v>
      </c>
      <c r="V52" s="52">
        <f>IF(V24=1,IF(U37=1,1,0),0)</f>
        <v>0</v>
      </c>
      <c r="W52" s="48">
        <f>IF(W24=1,IF(X37=1,1,0),0)</f>
        <v>0</v>
      </c>
      <c r="Y52" s="52">
        <f>IF(Y24=1,IF(X37=1,1,0),0)</f>
        <v>0</v>
      </c>
      <c r="Z52" s="48">
        <f>IF(Z24=1,IF(AA37=1,1,0),0)</f>
        <v>0</v>
      </c>
      <c r="AB52" s="52">
        <f>IF(AB24=1,IF(AA37=1,1,0),0)</f>
        <v>0</v>
      </c>
      <c r="AC52" s="48">
        <f>IF(AC24=1,IF(AD37=1,1,0),0)</f>
        <v>0</v>
      </c>
      <c r="AE52" s="52">
        <f>IF(AE24=1,IF(AD37=1,1,0),0)</f>
        <v>0</v>
      </c>
      <c r="AF52" s="48">
        <f>SUM(B52:AE52)</f>
        <v>3</v>
      </c>
    </row>
    <row r="53" spans="1:37" s="48" customFormat="1" ht="12.75" hidden="1" customHeight="1" x14ac:dyDescent="0.25">
      <c r="A53" s="48" t="s">
        <v>84</v>
      </c>
      <c r="B53" s="48">
        <f>IF(B24=2,IF(C37=1,1,0),0)</f>
        <v>1</v>
      </c>
      <c r="D53" s="52">
        <f>IF(D24=2,IF(C37=1,1,0),0)</f>
        <v>0</v>
      </c>
      <c r="E53" s="48">
        <f>IF(E24=2,IF(F37=1,1,0),0)</f>
        <v>0</v>
      </c>
      <c r="G53" s="52">
        <f>IF(G24=2,IF(F37=1,1,0),0)</f>
        <v>0</v>
      </c>
      <c r="H53" s="48">
        <f>IF(H24=2,IF(I37=1,1,0),0)</f>
        <v>1</v>
      </c>
      <c r="J53" s="52">
        <f>IF(J24=2,IF(I37=1,1,0),0)</f>
        <v>0</v>
      </c>
      <c r="K53" s="48">
        <f>IF(K24=2,IF(L37=1,1,0),0)</f>
        <v>0</v>
      </c>
      <c r="M53" s="52">
        <f>IF(M24=2,IF(L37=1,1,0),0)</f>
        <v>0</v>
      </c>
      <c r="N53" s="48">
        <f>IF(N24=2,IF(O37=1,1,0),0)</f>
        <v>0</v>
      </c>
      <c r="P53" s="52">
        <f>IF(P24=2,IF(O37=1,1,0),0)</f>
        <v>0</v>
      </c>
      <c r="Q53" s="48">
        <f>IF(Q24=2,IF(R37=1,1,0),0)</f>
        <v>0</v>
      </c>
      <c r="S53" s="52">
        <f>IF(S24=2,IF(R37=1,1,0),0)</f>
        <v>1</v>
      </c>
      <c r="T53" s="48">
        <f>IF(T24=2,IF(U37=1,1,0),0)</f>
        <v>0</v>
      </c>
      <c r="V53" s="52">
        <f>IF(V24=2,IF(U37=1,1,0),0)</f>
        <v>0</v>
      </c>
      <c r="W53" s="48">
        <f>IF(W24=2,IF(X37=1,1,0),0)</f>
        <v>0</v>
      </c>
      <c r="Y53" s="52">
        <f>IF(Y24=2,IF(X37=1,1,0),0)</f>
        <v>0</v>
      </c>
      <c r="Z53" s="48">
        <f>IF(Z24=2,IF(AA37=1,1,0),0)</f>
        <v>0</v>
      </c>
      <c r="AB53" s="52">
        <f>IF(AB24=2,IF(AA37=1,1,0),0)</f>
        <v>0</v>
      </c>
      <c r="AC53" s="48">
        <f>IF(AC24=2,IF(AD37=1,1,0),0)</f>
        <v>0</v>
      </c>
      <c r="AE53" s="52">
        <f>IF(AE24=2,IF(AD37=1,1,0),0)</f>
        <v>0</v>
      </c>
      <c r="AF53" s="48">
        <f>SUM(B53:AE53)</f>
        <v>3</v>
      </c>
    </row>
    <row r="54" spans="1:37" s="48" customFormat="1" ht="12.75" hidden="1" customHeight="1" x14ac:dyDescent="0.25">
      <c r="A54" s="48" t="s">
        <v>85</v>
      </c>
      <c r="B54" s="48">
        <f>IF(B24=3,IF(C37=1,1,0),0)</f>
        <v>0</v>
      </c>
      <c r="D54" s="52">
        <f>IF(D24=3,IF(C37=1,1,0),0)</f>
        <v>1</v>
      </c>
      <c r="E54" s="48">
        <f>IF(E24=3,IF(F37=1,1,0),0)</f>
        <v>0</v>
      </c>
      <c r="G54" s="52">
        <f>IF(G24=3,IF(F37=1,1,0),0)</f>
        <v>0</v>
      </c>
      <c r="H54" s="48">
        <f>IF(H24=3,IF(I37=1,1,0),0)</f>
        <v>0</v>
      </c>
      <c r="J54" s="52">
        <f>IF(J24=3,IF(I37=1,1,0),0)</f>
        <v>0</v>
      </c>
      <c r="K54" s="48">
        <f>IF(K24=3,IF(L37=1,1,0),0)</f>
        <v>0</v>
      </c>
      <c r="M54" s="52">
        <f>IF(M24=3,IF(L37=1,1,0),0)</f>
        <v>1</v>
      </c>
      <c r="N54" s="48">
        <f>IF(N24=3,IF(O37=1,1,0),0)</f>
        <v>1</v>
      </c>
      <c r="P54" s="52">
        <f>IF(P24=3,IF(O37=1,1,0),0)</f>
        <v>0</v>
      </c>
      <c r="Q54" s="48">
        <f>IF(Q24=3,IF(R37=1,1,0),0)</f>
        <v>0</v>
      </c>
      <c r="S54" s="52">
        <f>IF(S24=3,IF(R37=1,1,0),0)</f>
        <v>0</v>
      </c>
      <c r="T54" s="48">
        <f>IF(T24=3,IF(U37=1,1,0),0)</f>
        <v>0</v>
      </c>
      <c r="V54" s="52">
        <f>IF(V24=3,IF(U37=1,1,0),0)</f>
        <v>0</v>
      </c>
      <c r="W54" s="48">
        <f>IF(W24=3,IF(X37=1,1,0),0)</f>
        <v>0</v>
      </c>
      <c r="Y54" s="52">
        <f>IF(Y24=3,IF(X37=1,1,0),0)</f>
        <v>0</v>
      </c>
      <c r="Z54" s="48">
        <f>IF(Z24=3,IF(AA37=1,1,0),0)</f>
        <v>0</v>
      </c>
      <c r="AB54" s="52">
        <f>IF(AB24=3,IF(AA37=1,1,0),0)</f>
        <v>0</v>
      </c>
      <c r="AC54" s="48">
        <f>IF(AC24=3,IF(AD37=1,1,0),0)</f>
        <v>0</v>
      </c>
      <c r="AE54" s="52">
        <f>IF(AE24=3,IF(AD37=1,1,0),0)</f>
        <v>0</v>
      </c>
      <c r="AF54" s="48">
        <f>SUM(B54:AE54)</f>
        <v>3</v>
      </c>
    </row>
    <row r="55" spans="1:37" s="48" customFormat="1" ht="12.75" hidden="1" customHeight="1" x14ac:dyDescent="0.25">
      <c r="A55" s="48" t="s">
        <v>86</v>
      </c>
      <c r="B55" s="48">
        <f>IF(B24=4,IF(C37=1,1,0),0)</f>
        <v>0</v>
      </c>
      <c r="D55" s="52">
        <f>IF(D24=4,IF(C37=1,1,0),0)</f>
        <v>0</v>
      </c>
      <c r="E55" s="48">
        <f>IF(E24=4,IF(F37=1,1,0),0)</f>
        <v>0</v>
      </c>
      <c r="G55" s="52">
        <f>IF(G24=4,IF(F37=1,1,0),0)</f>
        <v>1</v>
      </c>
      <c r="H55" s="48">
        <f>IF(H24=4,IF(I37=1,1,0),0)</f>
        <v>0</v>
      </c>
      <c r="J55" s="52">
        <f>IF(J24=4,IF(I37=1,1,0),0)</f>
        <v>1</v>
      </c>
      <c r="K55" s="48">
        <f>IF(K24=4,IF(L37=1,1,0),0)</f>
        <v>0</v>
      </c>
      <c r="M55" s="52">
        <f>IF(M24=4,IF(L37=1,1,0),0)</f>
        <v>0</v>
      </c>
      <c r="N55" s="48">
        <f>IF(N24=4,IF(O37=1,1,0),0)</f>
        <v>0</v>
      </c>
      <c r="P55" s="52">
        <f>IF(P24=4,IF(O37=1,1,0),0)</f>
        <v>1</v>
      </c>
      <c r="Q55" s="48">
        <f>IF(Q24=4,IF(R37=1,1,0),0)</f>
        <v>0</v>
      </c>
      <c r="S55" s="52">
        <f>IF(S24=4,IF(R37=1,1,0),0)</f>
        <v>0</v>
      </c>
      <c r="T55" s="48">
        <f>IF(T24=4,IF(U37=1,1,0),0)</f>
        <v>0</v>
      </c>
      <c r="V55" s="52">
        <f>IF(V24=4,IF(U37=1,1,0),0)</f>
        <v>0</v>
      </c>
      <c r="W55" s="48">
        <f>IF(W24=4,IF(X37=1,1,0),0)</f>
        <v>0</v>
      </c>
      <c r="Y55" s="52">
        <f>IF(Y24=4,IF(X37=1,1,0),0)</f>
        <v>0</v>
      </c>
      <c r="Z55" s="48">
        <f>IF(Z24=4,IF(AA37=1,1,0),0)</f>
        <v>0</v>
      </c>
      <c r="AB55" s="52">
        <f>IF(AB24=4,IF(AA37=1,1,0),0)</f>
        <v>0</v>
      </c>
      <c r="AC55" s="48">
        <f>IF(AC24=4,IF(AD37=1,1,0),0)</f>
        <v>0</v>
      </c>
      <c r="AE55" s="52">
        <f>IF(AE24=4,IF(AD37=1,1,0),0)</f>
        <v>0</v>
      </c>
      <c r="AF55" s="48">
        <f>SUM(B55:AE55)</f>
        <v>3</v>
      </c>
    </row>
    <row r="56" spans="1:37" s="48" customFormat="1" ht="12.75" hidden="1" customHeight="1" x14ac:dyDescent="0.25">
      <c r="A56" s="48" t="s">
        <v>87</v>
      </c>
      <c r="B56" s="48">
        <f>IF(B24=5,IF(C37=1,1,0),0)</f>
        <v>0</v>
      </c>
      <c r="D56" s="52">
        <f>IF(D24=5,IF(C37=1,1,0),0)</f>
        <v>0</v>
      </c>
      <c r="E56" s="48">
        <f>IF(E24=5,IF(F37=1,1,0),0)</f>
        <v>0</v>
      </c>
      <c r="G56" s="52">
        <f>IF(G24=5,IF(F37=1,1,0),0)</f>
        <v>0</v>
      </c>
      <c r="H56" s="48">
        <f>IF(H24=5,IF(I37=1,1,0),0)</f>
        <v>0</v>
      </c>
      <c r="J56" s="52">
        <f>IF(J24=5,IF(I37=1,1,0),0)</f>
        <v>0</v>
      </c>
      <c r="K56" s="48">
        <f>IF(K24=5,IF(L37=1,1,0),0)</f>
        <v>0</v>
      </c>
      <c r="M56" s="52">
        <f>IF(M24=5,IF(L37=1,1,0),0)</f>
        <v>0</v>
      </c>
      <c r="N56" s="48">
        <f>IF(N24=5,IF(O37=1,1,0),0)</f>
        <v>0</v>
      </c>
      <c r="P56" s="52">
        <f>IF(P24=5,IF(O37=1,1,0),0)</f>
        <v>0</v>
      </c>
      <c r="Q56" s="48">
        <f>IF(Q24=5,IF(R37=1,1,0),0)</f>
        <v>0</v>
      </c>
      <c r="S56" s="52">
        <f>IF(S24=5,IF(R37=1,1,0),0)</f>
        <v>0</v>
      </c>
      <c r="T56" s="48">
        <f>IF(T24=5,IF(U37=1,1,0),0)</f>
        <v>0</v>
      </c>
      <c r="V56" s="52">
        <f>IF(V24=5,IF(U37=1,1,0),0)</f>
        <v>0</v>
      </c>
      <c r="W56" s="48">
        <f>IF(W24=5,IF(X37=1,1,0),0)</f>
        <v>0</v>
      </c>
      <c r="Y56" s="52">
        <f>IF(Y24=5,IF(X37=1,1,0),0)</f>
        <v>0</v>
      </c>
      <c r="Z56" s="48">
        <f>IF(Z24=5,IF(AA37=1,1,0),0)</f>
        <v>0</v>
      </c>
      <c r="AB56" s="52">
        <f>IF(AB24=5,IF(AA37=1,1,0),0)</f>
        <v>0</v>
      </c>
      <c r="AC56" s="48">
        <f>IF(AC24=5,IF(AD37=1,1,0),0)</f>
        <v>0</v>
      </c>
      <c r="AE56" s="52">
        <f>IF(AE24=5,IF(AD37=1,1,0),0)</f>
        <v>0</v>
      </c>
      <c r="AF56" s="48">
        <f>SUM(B56:AE56)</f>
        <v>0</v>
      </c>
    </row>
    <row r="57" spans="1:37" s="48" customFormat="1" ht="38.25" hidden="1" customHeight="1" x14ac:dyDescent="0.25">
      <c r="A57" s="51"/>
      <c r="D57" s="52"/>
      <c r="G57" s="52"/>
      <c r="J57" s="52"/>
      <c r="M57" s="52"/>
      <c r="P57" s="52"/>
      <c r="S57" s="52"/>
      <c r="V57" s="52"/>
      <c r="Y57" s="52"/>
      <c r="AB57" s="52"/>
      <c r="AE57" s="52"/>
      <c r="AF57" s="51" t="s">
        <v>88</v>
      </c>
      <c r="AG57" s="150"/>
      <c r="AH57" s="150"/>
      <c r="AI57" s="150"/>
      <c r="AJ57" s="150"/>
      <c r="AK57" s="150"/>
    </row>
    <row r="58" spans="1:37" s="48" customFormat="1" ht="12.75" hidden="1" customHeight="1" x14ac:dyDescent="0.25">
      <c r="A58" s="48" t="s">
        <v>83</v>
      </c>
      <c r="B58" s="48">
        <f>IF(B24=1,B44,0)</f>
        <v>0</v>
      </c>
      <c r="D58" s="52">
        <f>IF(D24=1,B44,0)</f>
        <v>0</v>
      </c>
      <c r="E58" s="48">
        <f>IF(E24=1,E44,0)</f>
        <v>25</v>
      </c>
      <c r="G58" s="52">
        <f>IF(G24=1,E44,0)</f>
        <v>0</v>
      </c>
      <c r="H58" s="48">
        <f>IF(H24=1,H44,0)</f>
        <v>0</v>
      </c>
      <c r="J58" s="52">
        <f>IF(J24=1,H44,0)</f>
        <v>0</v>
      </c>
      <c r="K58" s="48">
        <f>IF(K24=1,K44,0)</f>
        <v>27</v>
      </c>
      <c r="M58" s="52">
        <f>IF(M24=1,K44,0)</f>
        <v>0</v>
      </c>
      <c r="N58" s="48">
        <f>IF(N24=1,N44,0)</f>
        <v>0</v>
      </c>
      <c r="P58" s="52">
        <f>IF(P24=1,N44,0)</f>
        <v>0</v>
      </c>
      <c r="Q58" s="48">
        <f>IF(Q24=1,Q44,0)</f>
        <v>33</v>
      </c>
      <c r="S58" s="52">
        <f>IF(S24=1,Q44,0)</f>
        <v>0</v>
      </c>
      <c r="T58" s="48">
        <f>IF(T24=1,T44,0)</f>
        <v>0</v>
      </c>
      <c r="V58" s="52">
        <f>IF(V24=1,T44,0)</f>
        <v>0</v>
      </c>
      <c r="W58" s="48">
        <f>IF(W24=1,W44,0)</f>
        <v>0</v>
      </c>
      <c r="Y58" s="52">
        <f>IF(Y24=1,W44,0)</f>
        <v>0</v>
      </c>
      <c r="Z58" s="48">
        <f>IF(Z24=1,Z44,0)</f>
        <v>0</v>
      </c>
      <c r="AB58" s="52">
        <f>IF(AB24=1,Z44,0)</f>
        <v>0</v>
      </c>
      <c r="AC58" s="48">
        <f>IF(AC24=1,AC44,0)</f>
        <v>0</v>
      </c>
      <c r="AE58" s="52">
        <f>IF(AE24=1,AC44,0)</f>
        <v>0</v>
      </c>
      <c r="AF58" s="48">
        <f>SUM(B58:AE58)</f>
        <v>85</v>
      </c>
    </row>
    <row r="59" spans="1:37" s="48" customFormat="1" ht="12.75" hidden="1" customHeight="1" x14ac:dyDescent="0.25">
      <c r="A59" s="48" t="s">
        <v>84</v>
      </c>
      <c r="B59" s="48">
        <f>IF(B24=2,B44,0)</f>
        <v>29</v>
      </c>
      <c r="D59" s="52">
        <f>IF(D24=2,B44,0)</f>
        <v>0</v>
      </c>
      <c r="E59" s="48">
        <f>IF(E24=2,E44,0)</f>
        <v>0</v>
      </c>
      <c r="G59" s="52">
        <f>IF(G24=2,E44,0)</f>
        <v>0</v>
      </c>
      <c r="H59" s="48">
        <f>IF(H24=2,H44,0)</f>
        <v>35</v>
      </c>
      <c r="J59" s="52">
        <f>IF(J24=2,H44,0)</f>
        <v>0</v>
      </c>
      <c r="K59" s="48">
        <f>IF(K24=2,K44,0)</f>
        <v>0</v>
      </c>
      <c r="M59" s="52">
        <f>IF(M24=2,K44,0)</f>
        <v>0</v>
      </c>
      <c r="N59" s="48">
        <f>IF(N24=2,N44,0)</f>
        <v>0</v>
      </c>
      <c r="P59" s="52">
        <f>IF(P24=2,N44,0)</f>
        <v>0</v>
      </c>
      <c r="Q59" s="48">
        <f>IF(Q24=2,Q44,0)</f>
        <v>0</v>
      </c>
      <c r="S59" s="52">
        <f>IF(S24=2,Q44,0)</f>
        <v>33</v>
      </c>
      <c r="T59" s="48">
        <f>IF(T24=2,T44,0)</f>
        <v>0</v>
      </c>
      <c r="V59" s="52">
        <f>IF(V24=2,T44,0)</f>
        <v>0</v>
      </c>
      <c r="W59" s="48">
        <f>IF(W24=2,W44,0)</f>
        <v>0</v>
      </c>
      <c r="Y59" s="52">
        <f>IF(Y24=2,W44,0)</f>
        <v>0</v>
      </c>
      <c r="Z59" s="48">
        <f>IF(Z24=2,Z44,0)</f>
        <v>0</v>
      </c>
      <c r="AB59" s="52">
        <f>IF(AB24=2,Z44,0)</f>
        <v>0</v>
      </c>
      <c r="AC59" s="48">
        <f>IF(AC24=2,AC44,0)</f>
        <v>0</v>
      </c>
      <c r="AE59" s="52">
        <f>IF(AE24=2,AC44,0)</f>
        <v>0</v>
      </c>
      <c r="AF59" s="48">
        <f>SUM(B59:AE59)</f>
        <v>97</v>
      </c>
    </row>
    <row r="60" spans="1:37" s="48" customFormat="1" ht="12.75" hidden="1" customHeight="1" x14ac:dyDescent="0.25">
      <c r="A60" s="48" t="s">
        <v>85</v>
      </c>
      <c r="B60" s="48">
        <f>IF(B24=3,B44,0)</f>
        <v>0</v>
      </c>
      <c r="D60" s="52">
        <f>IF(D24=3,B44,0)</f>
        <v>29</v>
      </c>
      <c r="E60" s="48">
        <f>IF(E24=3,E44,0)</f>
        <v>0</v>
      </c>
      <c r="G60" s="52">
        <f>IF(G24=3,E44,0)</f>
        <v>0</v>
      </c>
      <c r="H60" s="48">
        <f>IF(H24=3,H44,0)</f>
        <v>0</v>
      </c>
      <c r="J60" s="52">
        <f>IF(J24=3,H44,0)</f>
        <v>0</v>
      </c>
      <c r="K60" s="48">
        <f>IF(K24=3,K44,0)</f>
        <v>0</v>
      </c>
      <c r="M60" s="52">
        <f>IF(M24=3,K44,0)</f>
        <v>27</v>
      </c>
      <c r="N60" s="48">
        <f>IF(N24=3,N44,0)</f>
        <v>28</v>
      </c>
      <c r="P60" s="52">
        <f>IF(P24=3,N44,0)</f>
        <v>0</v>
      </c>
      <c r="Q60" s="48">
        <f>IF(Q24=3,Q44,0)</f>
        <v>0</v>
      </c>
      <c r="S60" s="52">
        <f>IF(S24=3,Q44,0)</f>
        <v>0</v>
      </c>
      <c r="T60" s="48">
        <f>IF(T24=3,T44,0)</f>
        <v>0</v>
      </c>
      <c r="V60" s="52">
        <f>IF(V24=3,T44,0)</f>
        <v>0</v>
      </c>
      <c r="W60" s="48">
        <f>IF(W24=3,W44,0)</f>
        <v>0</v>
      </c>
      <c r="Y60" s="52">
        <f>IF(Y24=3,W44,0)</f>
        <v>0</v>
      </c>
      <c r="Z60" s="48">
        <f>IF(Z24=3,Z44,0)</f>
        <v>0</v>
      </c>
      <c r="AB60" s="52">
        <f>IF(AB24=3,Z44,0)</f>
        <v>0</v>
      </c>
      <c r="AC60" s="48">
        <f>IF(AC24=3,AC44,0)</f>
        <v>0</v>
      </c>
      <c r="AE60" s="52">
        <f>IF(AE24=3,AC44,0)</f>
        <v>0</v>
      </c>
      <c r="AF60" s="48">
        <f>SUM(B60:AE60)</f>
        <v>84</v>
      </c>
    </row>
    <row r="61" spans="1:37" s="48" customFormat="1" ht="12.75" hidden="1" customHeight="1" x14ac:dyDescent="0.25">
      <c r="A61" s="48" t="s">
        <v>86</v>
      </c>
      <c r="B61" s="48">
        <f>IF(B24=4,B44,0)</f>
        <v>0</v>
      </c>
      <c r="D61" s="52">
        <f>IF(D24=4,B44,0)</f>
        <v>0</v>
      </c>
      <c r="E61" s="48">
        <f>IF(E24=4,E44,0)</f>
        <v>0</v>
      </c>
      <c r="G61" s="52">
        <f>IF(G24=4,E44,0)</f>
        <v>25</v>
      </c>
      <c r="H61" s="48">
        <f>IF(H24=4,H44,0)</f>
        <v>0</v>
      </c>
      <c r="J61" s="52">
        <f>IF(J24=4,H44,0)</f>
        <v>35</v>
      </c>
      <c r="K61" s="48">
        <f>IF(K24=4,K44,0)</f>
        <v>0</v>
      </c>
      <c r="M61" s="52">
        <f>IF(M24=4,K44,0)</f>
        <v>0</v>
      </c>
      <c r="N61" s="48">
        <f>IF(N24=4,N44,0)</f>
        <v>0</v>
      </c>
      <c r="P61" s="52">
        <f>IF(P24=4,N44,0)</f>
        <v>28</v>
      </c>
      <c r="Q61" s="48">
        <f>IF(Q24=4,Q44,0)</f>
        <v>0</v>
      </c>
      <c r="S61" s="52">
        <f>IF(S24=4,Q44,0)</f>
        <v>0</v>
      </c>
      <c r="T61" s="48">
        <f>IF(T24=4,T44,0)</f>
        <v>0</v>
      </c>
      <c r="V61" s="52">
        <f>IF(V24=4,T44,0)</f>
        <v>0</v>
      </c>
      <c r="W61" s="48">
        <f>IF(W24=4,W44,0)</f>
        <v>0</v>
      </c>
      <c r="Y61" s="52">
        <f>IF(Y24=4,W44,0)</f>
        <v>0</v>
      </c>
      <c r="Z61" s="48">
        <f>IF(Z24=4,Z44,0)</f>
        <v>0</v>
      </c>
      <c r="AB61" s="52">
        <f>IF(AB24=4,Z44,0)</f>
        <v>0</v>
      </c>
      <c r="AC61" s="48">
        <f>IF(AC24=4,AC44,0)</f>
        <v>0</v>
      </c>
      <c r="AE61" s="52">
        <f>IF(AE24=4,AC44,0)</f>
        <v>0</v>
      </c>
      <c r="AF61" s="48">
        <f>SUM(B61:AE61)</f>
        <v>88</v>
      </c>
    </row>
    <row r="62" spans="1:37" s="48" customFormat="1" ht="12.75" hidden="1" customHeight="1" x14ac:dyDescent="0.25">
      <c r="A62" s="48" t="s">
        <v>87</v>
      </c>
      <c r="B62" s="48">
        <f>IF(B24=5,B44,0)</f>
        <v>0</v>
      </c>
      <c r="D62" s="52">
        <f>IF(D24=5,B44,0)</f>
        <v>0</v>
      </c>
      <c r="E62" s="48">
        <f>IF(E24=5,E44,0)</f>
        <v>0</v>
      </c>
      <c r="G62" s="52">
        <f>IF(G24=5,E44,0)</f>
        <v>0</v>
      </c>
      <c r="H62" s="48">
        <f>IF(H24=5,H44,0)</f>
        <v>0</v>
      </c>
      <c r="J62" s="52">
        <f>IF(J24=5,H44,0)</f>
        <v>0</v>
      </c>
      <c r="K62" s="48">
        <f>IF(K24=5,K44,0)</f>
        <v>0</v>
      </c>
      <c r="M62" s="52">
        <f>IF(M24=5,K44,0)</f>
        <v>0</v>
      </c>
      <c r="N62" s="48">
        <f>IF(N24=5,N44,0)</f>
        <v>0</v>
      </c>
      <c r="P62" s="52">
        <f>IF(P24=5,N44,0)</f>
        <v>0</v>
      </c>
      <c r="Q62" s="48">
        <f>IF(Q24=5,Q44,0)</f>
        <v>0</v>
      </c>
      <c r="S62" s="52">
        <f>IF(S24=5,Q44,0)</f>
        <v>0</v>
      </c>
      <c r="T62" s="48">
        <f>IF(T24=5,T44,0)</f>
        <v>0</v>
      </c>
      <c r="V62" s="52">
        <f>IF(V24=5,T44,0)</f>
        <v>0</v>
      </c>
      <c r="W62" s="48">
        <f>IF(W24=5,W44,0)</f>
        <v>0</v>
      </c>
      <c r="Y62" s="52">
        <f>IF(Y24=5,W44,0)</f>
        <v>0</v>
      </c>
      <c r="Z62" s="48">
        <f>IF(Z24=5,Z44,0)</f>
        <v>0</v>
      </c>
      <c r="AB62" s="52">
        <f>IF(AB24=5,Z44,0)</f>
        <v>0</v>
      </c>
      <c r="AC62" s="48">
        <f>IF(AC24=5,AC44,0)</f>
        <v>0</v>
      </c>
      <c r="AE62" s="52">
        <f>IF(AE24=5,AC44,0)</f>
        <v>0</v>
      </c>
      <c r="AF62" s="48">
        <f>SUM(B62:AE62)</f>
        <v>0</v>
      </c>
    </row>
    <row r="63" spans="1:37" s="48" customFormat="1" ht="38.25" hidden="1" customHeight="1" x14ac:dyDescent="0.25">
      <c r="A63" s="48" t="s">
        <v>89</v>
      </c>
      <c r="D63" s="52"/>
      <c r="G63" s="52"/>
      <c r="J63" s="52"/>
      <c r="M63" s="52"/>
      <c r="P63" s="52"/>
      <c r="S63" s="52"/>
      <c r="V63" s="52"/>
      <c r="Y63" s="52"/>
      <c r="AB63" s="52"/>
      <c r="AE63" s="52"/>
      <c r="AF63" s="51" t="s">
        <v>90</v>
      </c>
      <c r="AG63" s="48" t="s">
        <v>91</v>
      </c>
    </row>
    <row r="64" spans="1:37" s="48" customFormat="1" ht="12.75" hidden="1" customHeight="1" x14ac:dyDescent="0.25">
      <c r="A64" s="48" t="s">
        <v>77</v>
      </c>
      <c r="B64" s="48">
        <f>IF(B24=1,SUMIF(B31:B35,"&gt;0"),0)</f>
        <v>0</v>
      </c>
      <c r="D64" s="52">
        <f>IF(D24=1,SUMIF(D31:D35,"&gt;0"),0)</f>
        <v>0</v>
      </c>
      <c r="E64" s="48">
        <f>IF(E24=1,SUMIF(E31:E35,"&gt;0"),0)</f>
        <v>0</v>
      </c>
      <c r="G64" s="52">
        <f>IF(G24=1,SUMIF(G31:G35,"&gt;0"),0)</f>
        <v>0</v>
      </c>
      <c r="H64" s="48">
        <f>IF(H24=1,SUMIF(H31:H35,"&gt;0"),0)</f>
        <v>0</v>
      </c>
      <c r="J64" s="52">
        <f>IF(J24=1,SUMIF(J31:J35,"&gt;0"),0)</f>
        <v>0</v>
      </c>
      <c r="K64" s="48">
        <f>IF(K24=1,SUMIF(K31:K35,"&gt;0"),0)</f>
        <v>1</v>
      </c>
      <c r="M64" s="52">
        <f>IF(M24=1,SUMIF(M31:M35,"&gt;0"),0)</f>
        <v>0</v>
      </c>
      <c r="N64" s="48">
        <f>IF(N24=1,SUMIF(N31:N35,"&gt;0"),0)</f>
        <v>0</v>
      </c>
      <c r="P64" s="52">
        <f>IF(P24=1,SUMIF(P31:P35,"&gt;0"),0)</f>
        <v>0</v>
      </c>
      <c r="Q64" s="48">
        <f>IF(Q24=1,SUMIF(Q31:Q35,"&gt;0"),0)</f>
        <v>1</v>
      </c>
      <c r="S64" s="52">
        <f>IF(S24=1,SUMIF(S31:S35,"&gt;0"),0)</f>
        <v>0</v>
      </c>
      <c r="T64" s="48">
        <f>IF(T24=1,SUMIF(T31:T35,"&gt;0"),0)</f>
        <v>0</v>
      </c>
      <c r="V64" s="52">
        <f>IF(V24=1,SUMIF(V31:V35,"&gt;0"),0)</f>
        <v>0</v>
      </c>
      <c r="W64" s="48">
        <f>IF(W24=1,SUMIF(W31:W35,"&gt;0"),0)</f>
        <v>0</v>
      </c>
      <c r="Y64" s="52">
        <f>IF(Y24=1,SUMIF(Y31:Y35,"&gt;0"),0)</f>
        <v>0</v>
      </c>
      <c r="Z64" s="48">
        <f>IF(Z24=1,SUMIF(Z31:Z35,"&gt;0"),0)</f>
        <v>0</v>
      </c>
      <c r="AB64" s="52">
        <f>IF(AB24=1,SUMIF(AB31:AB35,"&gt;0"),0)</f>
        <v>0</v>
      </c>
      <c r="AC64" s="48">
        <f>IF(AC24=1,SUMIF(AC31:AC35,"&gt;0"),0)</f>
        <v>0</v>
      </c>
      <c r="AE64" s="52">
        <f>IF(AE24=1,SUMIF(AE31:AE35,"&gt;0"),0)</f>
        <v>0</v>
      </c>
      <c r="AF64" s="48">
        <f>SUM(B64:AE64)</f>
        <v>2</v>
      </c>
      <c r="AG64" s="48">
        <f>AF72-AF64</f>
        <v>1</v>
      </c>
    </row>
    <row r="65" spans="1:49" s="48" customFormat="1" ht="12.75" hidden="1" customHeight="1" x14ac:dyDescent="0.25">
      <c r="A65" s="48" t="s">
        <v>78</v>
      </c>
      <c r="B65" s="48">
        <f>IF(B24=2,SUMIF(B31:B35,"&gt;0"),0)</f>
        <v>0</v>
      </c>
      <c r="D65" s="52">
        <f>IF(D24=2,SUMIF(D31:D35,"&gt;0"),0)</f>
        <v>0</v>
      </c>
      <c r="E65" s="48">
        <f>IF(E24=2,SUMIF(E31:E35,"&gt;0"),0)</f>
        <v>0</v>
      </c>
      <c r="G65" s="52">
        <f>IF(G24=2,SUMIF(G31:G35,"&gt;0"),0)</f>
        <v>0</v>
      </c>
      <c r="H65" s="48">
        <f>IF(H24=2,SUMIF(H31:H35,"&gt;0"),0)</f>
        <v>0</v>
      </c>
      <c r="J65" s="52">
        <f>IF(J24=2,SUMIF(J31:J35,"&gt;0"),0)</f>
        <v>0</v>
      </c>
      <c r="K65" s="48">
        <f>IF(K24=2,SUMIF(K31:K35,"&gt;0"),0)</f>
        <v>0</v>
      </c>
      <c r="M65" s="52">
        <f>IF(M24=2,SUMIF(M31:M35,"&gt;0"),0)</f>
        <v>0</v>
      </c>
      <c r="N65" s="48">
        <f>IF(N24=2,SUMIF(N31:N35,"&gt;0"),0)</f>
        <v>0</v>
      </c>
      <c r="P65" s="52">
        <f>IF(P24=2,SUMIF(P31:P35,"&gt;0"),0)</f>
        <v>0</v>
      </c>
      <c r="Q65" s="48">
        <f>IF(Q24=2,SUMIF(Q31:Q35,"&gt;0"),0)</f>
        <v>0</v>
      </c>
      <c r="S65" s="52">
        <f>IF(S24=2,SUMIF(S31:S35,"&gt;0"),0)</f>
        <v>0</v>
      </c>
      <c r="T65" s="48">
        <f>IF(T24=2,SUMIF(T31:T35,"&gt;0"),0)</f>
        <v>0</v>
      </c>
      <c r="V65" s="52">
        <f>IF(V24=2,SUMIF(V31:V35,"&gt;0"),0)</f>
        <v>0</v>
      </c>
      <c r="W65" s="48">
        <f>IF(W24=2,SUMIF(W31:W35,"&gt;0"),0)</f>
        <v>0</v>
      </c>
      <c r="Y65" s="52">
        <f>IF(Y24=2,SUMIF(Y31:Y35,"&gt;0"),0)</f>
        <v>0</v>
      </c>
      <c r="Z65" s="48">
        <f>IF(Z24=2,SUMIF(Z31:Z35,"&gt;0"),0)</f>
        <v>0</v>
      </c>
      <c r="AB65" s="52">
        <f>IF(AB24=2,SUMIF(AB31:AB35,"&gt;0"),0)</f>
        <v>0</v>
      </c>
      <c r="AC65" s="48">
        <f>IF(AC24=2,SUMIF(AC31:AC35,"&gt;0"),0)</f>
        <v>0</v>
      </c>
      <c r="AE65" s="52">
        <f>IF(AE24=2,SUMIF(AE31:AE35,"&gt;0"),0)</f>
        <v>0</v>
      </c>
      <c r="AF65" s="48">
        <f>SUM(B65:AE65)</f>
        <v>0</v>
      </c>
      <c r="AG65" s="48">
        <f>AF73-AF65</f>
        <v>3</v>
      </c>
    </row>
    <row r="66" spans="1:49" s="48" customFormat="1" ht="12.75" hidden="1" customHeight="1" x14ac:dyDescent="0.25">
      <c r="A66" s="48" t="s">
        <v>79</v>
      </c>
      <c r="B66" s="48">
        <f>IF(B24=3,SUMIF(B31:B35,"&gt;0"),0)</f>
        <v>0</v>
      </c>
      <c r="D66" s="52">
        <f>IF(D24=3,SUMIF(D31:D35,"&gt;0"),0)</f>
        <v>1</v>
      </c>
      <c r="E66" s="48">
        <f>IF(E24=3,SUMIF(E31:E35,"&gt;0"),0)</f>
        <v>0</v>
      </c>
      <c r="G66" s="52">
        <f>IF(G24=3,SUMIF(G31:G35,"&gt;0"),0)</f>
        <v>0</v>
      </c>
      <c r="H66" s="48">
        <f>IF(H24=3,SUMIF(H31:H35,"&gt;0"),0)</f>
        <v>0</v>
      </c>
      <c r="J66" s="52">
        <f>IF(J24=3,SUMIF(J31:J35,"&gt;0"),0)</f>
        <v>0</v>
      </c>
      <c r="K66" s="48">
        <f>IF(K24=3,SUMIF(K31:K35,"&gt;0"),0)</f>
        <v>0</v>
      </c>
      <c r="M66" s="52">
        <f>IF(M24=3,SUMIF(M31:M35,"&gt;0"),0)</f>
        <v>0</v>
      </c>
      <c r="N66" s="48">
        <f>IF(N24=3,SUMIF(N31:N35,"&gt;0"),0)</f>
        <v>0</v>
      </c>
      <c r="P66" s="52">
        <f>IF(P24=3,SUMIF(P31:P35,"&gt;0"),0)</f>
        <v>0</v>
      </c>
      <c r="Q66" s="48">
        <f>IF(Q24=3,SUMIF(Q31:Q35,"&gt;0"),0)</f>
        <v>0</v>
      </c>
      <c r="S66" s="52">
        <f>IF(S24=3,SUMIF(S31:S35,"&gt;0"),0)</f>
        <v>0</v>
      </c>
      <c r="T66" s="48">
        <f>IF(T24=3,SUMIF(T31:T35,"&gt;0"),0)</f>
        <v>0</v>
      </c>
      <c r="V66" s="52">
        <f>IF(V24=3,SUMIF(V31:V35,"&gt;0"),0)</f>
        <v>0</v>
      </c>
      <c r="W66" s="48">
        <f>IF(W24=3,SUMIF(W31:W35,"&gt;0"),0)</f>
        <v>0</v>
      </c>
      <c r="Y66" s="52">
        <f>IF(Y24=3,SUMIF(Y31:Y35,"&gt;0"),0)</f>
        <v>0</v>
      </c>
      <c r="Z66" s="48">
        <f>IF(Z24=3,SUMIF(Z31:Z35,"&gt;0"),0)</f>
        <v>0</v>
      </c>
      <c r="AB66" s="52">
        <f>IF(AB24=3,SUMIF(AB31:AB35,"&gt;0"),0)</f>
        <v>0</v>
      </c>
      <c r="AC66" s="48">
        <f>IF(AC24=3,SUMIF(AC31:AC35,"&gt;0"),0)</f>
        <v>0</v>
      </c>
      <c r="AE66" s="52">
        <f>IF(AE24=3,SUMIF(AE31:AE35,"&gt;0"),0)</f>
        <v>0</v>
      </c>
      <c r="AF66" s="48">
        <f>SUM(B66:AE66)</f>
        <v>1</v>
      </c>
      <c r="AG66" s="48">
        <f>AF74-AF66</f>
        <v>2</v>
      </c>
    </row>
    <row r="67" spans="1:49" s="48" customFormat="1" ht="12.75" hidden="1" customHeight="1" x14ac:dyDescent="0.25">
      <c r="A67" s="48" t="s">
        <v>80</v>
      </c>
      <c r="B67" s="48">
        <f>IF(B24=4,SUMIF(B31:B35,"&gt;0"),0)</f>
        <v>0</v>
      </c>
      <c r="D67" s="52">
        <f>IF(D24=4,SUMIF(D31:D35,"&gt;0"),0)</f>
        <v>0</v>
      </c>
      <c r="E67" s="48">
        <f>IF(E24=4,SUMIF(E31:E35,"&gt;0"),0)</f>
        <v>0</v>
      </c>
      <c r="G67" s="52">
        <f>IF(G24=4,SUMIF(G31:G35,"&gt;0"),0)</f>
        <v>1</v>
      </c>
      <c r="H67" s="48">
        <f>IF(H24=4,SUMIF(H31:H35,"&gt;0"),0)</f>
        <v>0</v>
      </c>
      <c r="J67" s="52">
        <f>IF(J24=4,SUMIF(J31:J35,"&gt;0"),0)</f>
        <v>1</v>
      </c>
      <c r="K67" s="48">
        <f>IF(K24=4,SUMIF(K31:K35,"&gt;0"),0)</f>
        <v>0</v>
      </c>
      <c r="M67" s="52">
        <f>IF(M24=4,SUMIF(M31:M35,"&gt;0"),0)</f>
        <v>0</v>
      </c>
      <c r="N67" s="48">
        <f>IF(N24=4,SUMIF(N31:N35,"&gt;0"),0)</f>
        <v>0</v>
      </c>
      <c r="P67" s="52">
        <f>IF(P24=4,SUMIF(P31:P35,"&gt;0"),0)</f>
        <v>1</v>
      </c>
      <c r="Q67" s="48">
        <f>IF(Q24=4,SUMIF(Q31:Q35,"&gt;0"),0)</f>
        <v>0</v>
      </c>
      <c r="S67" s="52">
        <f>IF(S24=4,SUMIF(S31:S35,"&gt;0"),0)</f>
        <v>0</v>
      </c>
      <c r="T67" s="48">
        <f>IF(T24=4,SUMIF(T31:T35,"&gt;0"),0)</f>
        <v>0</v>
      </c>
      <c r="V67" s="52">
        <f>IF(V24=4,SUMIF(V31:V35,"&gt;0"),0)</f>
        <v>0</v>
      </c>
      <c r="W67" s="48">
        <f>IF(W24=4,SUMIF(W31:W35,"&gt;0"),0)</f>
        <v>0</v>
      </c>
      <c r="Y67" s="52">
        <f>IF(Y24=4,SUMIF(Y31:Y35,"&gt;0"),0)</f>
        <v>0</v>
      </c>
      <c r="Z67" s="48">
        <f>IF(Z24=4,SUMIF(Z31:Z35,"&gt;0"),0)</f>
        <v>0</v>
      </c>
      <c r="AB67" s="52">
        <f>IF(AB24=4,SUMIF(AB31:AB35,"&gt;0"),0)</f>
        <v>0</v>
      </c>
      <c r="AC67" s="48">
        <f>IF(AC24=4,SUMIF(AC31:AC35,"&gt;0"),0)</f>
        <v>0</v>
      </c>
      <c r="AE67" s="52">
        <f>IF(AE24=4,SUMIF(AE31:AE35,"&gt;0"),0)</f>
        <v>0</v>
      </c>
      <c r="AF67" s="48">
        <f>SUM(B67:AE67)</f>
        <v>3</v>
      </c>
      <c r="AG67" s="48">
        <f>AF75-AF67</f>
        <v>0</v>
      </c>
    </row>
    <row r="68" spans="1:49" s="48" customFormat="1" ht="12.75" hidden="1" customHeight="1" x14ac:dyDescent="0.25">
      <c r="A68" s="48" t="s">
        <v>81</v>
      </c>
      <c r="B68" s="48">
        <f>IF(B24=5,SUMIF(B31:B35,"&gt;0"),0)</f>
        <v>0</v>
      </c>
      <c r="D68" s="52">
        <f>IF(D24=5,SUMIF(D31:D35,"&gt;0"),0)</f>
        <v>0</v>
      </c>
      <c r="E68" s="48">
        <f>IF(E24=5,SUMIF(E31:E35,"&gt;0"),0)</f>
        <v>0</v>
      </c>
      <c r="G68" s="52">
        <f>IF(G24=5,SUMIF(G31:G35,"&gt;0"),0)</f>
        <v>0</v>
      </c>
      <c r="H68" s="48">
        <f>IF(H24=5,SUMIF(H31:H35,"&gt;0"),0)</f>
        <v>0</v>
      </c>
      <c r="J68" s="52">
        <f>IF(J24=5,SUMIF(J31:J35,"&gt;0"),0)</f>
        <v>0</v>
      </c>
      <c r="K68" s="48">
        <f>IF(K24=5,SUMIF(K31:K35,"&gt;0"),0)</f>
        <v>0</v>
      </c>
      <c r="M68" s="52">
        <f>IF(M24=5,SUMIF(M31:M35,"&gt;0"),0)</f>
        <v>0</v>
      </c>
      <c r="N68" s="48">
        <f>IF(N24=5,SUMIF(N31:N35,"&gt;0"),0)</f>
        <v>0</v>
      </c>
      <c r="P68" s="52">
        <f>IF(P24=5,SUMIF(P31:P35,"&gt;0"),0)</f>
        <v>0</v>
      </c>
      <c r="Q68" s="48">
        <f>IF(Q24=5,SUMIF(Q31:Q35,"&gt;0"),0)</f>
        <v>0</v>
      </c>
      <c r="S68" s="52">
        <f>IF(S24=5,SUMIF(S31:S35,"&gt;0"),0)</f>
        <v>0</v>
      </c>
      <c r="T68" s="48">
        <f>IF(T24=5,SUMIF(T31:T35,"&gt;0"),0)</f>
        <v>0</v>
      </c>
      <c r="V68" s="52">
        <f>IF(V24=5,SUMIF(V31:V35,"&gt;0"),0)</f>
        <v>0</v>
      </c>
      <c r="W68" s="48">
        <f>IF(W24=5,SUMIF(W31:W35,"&gt;0"),0)</f>
        <v>0</v>
      </c>
      <c r="Y68" s="52">
        <f>IF(Y24=5,SUMIF(Y31:Y35,"&gt;0"),0)</f>
        <v>0</v>
      </c>
      <c r="Z68" s="48">
        <f>IF(Z24=5,SUMIF(Z31:Z35,"&gt;0"),0)</f>
        <v>0</v>
      </c>
      <c r="AB68" s="52">
        <f>IF(AB24=5,SUMIF(AB31:AB35,"&gt;0"),0)</f>
        <v>0</v>
      </c>
      <c r="AC68" s="48">
        <f>IF(AC24=5,SUMIF(AC31:AC35,"&gt;0"),0)</f>
        <v>0</v>
      </c>
      <c r="AE68" s="52">
        <f>IF(AE24=5,SUMIF(AE31:AE35,"&gt;0"),0)</f>
        <v>0</v>
      </c>
      <c r="AF68" s="48">
        <f>SUM(B68:AE68)</f>
        <v>0</v>
      </c>
      <c r="AG68" s="48">
        <f>AF76-AF68</f>
        <v>0</v>
      </c>
    </row>
    <row r="69" spans="1:49" s="48" customFormat="1" ht="12.75" hidden="1" customHeight="1" x14ac:dyDescent="0.25">
      <c r="D69" s="52"/>
      <c r="G69" s="52"/>
      <c r="J69" s="52"/>
      <c r="M69" s="52"/>
      <c r="P69" s="52"/>
      <c r="S69" s="52"/>
      <c r="V69" s="52"/>
      <c r="Y69" s="52"/>
      <c r="AB69" s="52"/>
      <c r="AE69" s="52"/>
    </row>
    <row r="70" spans="1:49" s="48" customFormat="1" ht="12.75" hidden="1" customHeight="1" x14ac:dyDescent="0.25">
      <c r="D70" s="52"/>
      <c r="G70" s="52"/>
      <c r="J70" s="52"/>
      <c r="M70" s="52"/>
      <c r="P70" s="52"/>
      <c r="S70" s="52"/>
      <c r="V70" s="52"/>
      <c r="Y70" s="52"/>
      <c r="AB70" s="52"/>
      <c r="AE70" s="52"/>
    </row>
    <row r="71" spans="1:49" s="48" customFormat="1" ht="51" hidden="1" customHeight="1" x14ac:dyDescent="0.25">
      <c r="A71" s="51" t="s">
        <v>92</v>
      </c>
      <c r="C71" s="48">
        <f>SUMIF(B64:D68,"&gt;0")</f>
        <v>1</v>
      </c>
      <c r="D71" s="52"/>
      <c r="F71" s="48">
        <f>SUMIF(E64:G68,"&gt;0")</f>
        <v>1</v>
      </c>
      <c r="G71" s="52"/>
      <c r="I71" s="48">
        <f>SUMIF(H64:J68,"&gt;0")</f>
        <v>1</v>
      </c>
      <c r="J71" s="52"/>
      <c r="L71" s="48">
        <f>SUMIF(K64:M68,"&gt;0")</f>
        <v>1</v>
      </c>
      <c r="M71" s="52"/>
      <c r="O71" s="48">
        <f>SUMIF(N64:P68,"&gt;0")</f>
        <v>1</v>
      </c>
      <c r="P71" s="52"/>
      <c r="R71" s="48">
        <f>SUMIF(Q64:S68,"&gt;0")</f>
        <v>1</v>
      </c>
      <c r="S71" s="52"/>
      <c r="U71" s="48">
        <f>SUMIF(T64:V68,"&gt;0")</f>
        <v>0</v>
      </c>
      <c r="V71" s="52"/>
      <c r="X71" s="48">
        <f>SUMIF(W64:Y68,"&gt;0")</f>
        <v>0</v>
      </c>
      <c r="Y71" s="52"/>
      <c r="AA71" s="48">
        <f>SUMIF(Z64:AB68,"&gt;0")</f>
        <v>0</v>
      </c>
      <c r="AB71" s="52"/>
      <c r="AD71" s="48">
        <f>SUMIF(AC64:AE68,"&gt;0")</f>
        <v>0</v>
      </c>
      <c r="AE71" s="52"/>
      <c r="AF71" s="51" t="s">
        <v>93</v>
      </c>
    </row>
    <row r="72" spans="1:49" s="48" customFormat="1" ht="12.75" hidden="1" customHeight="1" x14ac:dyDescent="0.25">
      <c r="A72" s="48" t="s">
        <v>83</v>
      </c>
      <c r="B72" s="48">
        <f>IF(B24=1,C71,0)</f>
        <v>0</v>
      </c>
      <c r="D72" s="52">
        <f>IF(D24=1,C71,0)</f>
        <v>0</v>
      </c>
      <c r="E72" s="48">
        <f>IF(E24=1,F71,0)</f>
        <v>1</v>
      </c>
      <c r="G72" s="52">
        <f>IF(G24=1,F71,0)</f>
        <v>0</v>
      </c>
      <c r="H72" s="48">
        <f>IF(H24=1,I71,0)</f>
        <v>0</v>
      </c>
      <c r="J72" s="52">
        <f>IF(J24=1,I71,0)</f>
        <v>0</v>
      </c>
      <c r="K72" s="48">
        <f>IF(K24=1,L71,0)</f>
        <v>1</v>
      </c>
      <c r="M72" s="52">
        <f>IF(M24=1,L71,0)</f>
        <v>0</v>
      </c>
      <c r="N72" s="48">
        <f>IF(N24=1,O71,0)</f>
        <v>0</v>
      </c>
      <c r="P72" s="52">
        <f>IF(P24=1,O71,0)</f>
        <v>0</v>
      </c>
      <c r="Q72" s="48">
        <f>IF(Q24=1,R71,0)</f>
        <v>1</v>
      </c>
      <c r="S72" s="52">
        <f>IF(S24=1,R71,0)</f>
        <v>0</v>
      </c>
      <c r="T72" s="48">
        <f>IF(T24=1,U71,0)</f>
        <v>0</v>
      </c>
      <c r="V72" s="52">
        <f>IF(V24=1,U71,0)</f>
        <v>0</v>
      </c>
      <c r="W72" s="48">
        <f>IF(W24=1,X71,0)</f>
        <v>0</v>
      </c>
      <c r="Y72" s="52">
        <f>IF(Y24=1,X71,0)</f>
        <v>0</v>
      </c>
      <c r="Z72" s="48">
        <f>IF(Z24=1,AA71,0)</f>
        <v>0</v>
      </c>
      <c r="AB72" s="52">
        <f>IF(AB24=1,AA71,0)</f>
        <v>0</v>
      </c>
      <c r="AC72" s="48">
        <f>IF(AC24=1,AD71,0)</f>
        <v>0</v>
      </c>
      <c r="AE72" s="52">
        <f>IF(AE24=1,AD71,0)</f>
        <v>0</v>
      </c>
      <c r="AF72" s="48">
        <f>SUM(B72:AE72)</f>
        <v>3</v>
      </c>
    </row>
    <row r="73" spans="1:49" s="48" customFormat="1" ht="12.75" hidden="1" customHeight="1" x14ac:dyDescent="0.25">
      <c r="A73" s="48" t="s">
        <v>84</v>
      </c>
      <c r="B73" s="48">
        <f>IF(B24=2,C71,0)</f>
        <v>1</v>
      </c>
      <c r="D73" s="52">
        <f>IF(D24=2,C71,0)</f>
        <v>0</v>
      </c>
      <c r="E73" s="48">
        <f>IF(E24=2,F71,0)</f>
        <v>0</v>
      </c>
      <c r="G73" s="52">
        <f>IF(G24=2,F71,0)</f>
        <v>0</v>
      </c>
      <c r="H73" s="48">
        <f>IF(H24=2,I71,0)</f>
        <v>1</v>
      </c>
      <c r="J73" s="52">
        <f>IF(J24=2,I71,0)</f>
        <v>0</v>
      </c>
      <c r="K73" s="48">
        <f>IF(K24=2,L71,0)</f>
        <v>0</v>
      </c>
      <c r="M73" s="52">
        <f>IF(M24=2,L71,0)</f>
        <v>0</v>
      </c>
      <c r="N73" s="48">
        <f>IF(N24=2,O71,0)</f>
        <v>0</v>
      </c>
      <c r="P73" s="52">
        <f>IF(P24=2,O71,0)</f>
        <v>0</v>
      </c>
      <c r="Q73" s="48">
        <f>IF(Q24=2,R71,0)</f>
        <v>0</v>
      </c>
      <c r="S73" s="52">
        <f>IF(S24=2,R71,0)</f>
        <v>1</v>
      </c>
      <c r="T73" s="48">
        <f>IF(T24=2,U71,0)</f>
        <v>0</v>
      </c>
      <c r="V73" s="52">
        <f>IF(V24=2,U71,0)</f>
        <v>0</v>
      </c>
      <c r="W73" s="48">
        <f>IF(W24=2,X71,0)</f>
        <v>0</v>
      </c>
      <c r="Y73" s="52">
        <f>IF(Y24=2,X71,0)</f>
        <v>0</v>
      </c>
      <c r="Z73" s="48">
        <f>IF(Z24=2,AA71,0)</f>
        <v>0</v>
      </c>
      <c r="AB73" s="52">
        <f>IF(AB24=2,AA71,0)</f>
        <v>0</v>
      </c>
      <c r="AC73" s="48">
        <f>IF(AC24=2,AD71,0)</f>
        <v>0</v>
      </c>
      <c r="AE73" s="52">
        <f>IF(AE24=2,AD71,0)</f>
        <v>0</v>
      </c>
      <c r="AF73" s="48">
        <f>SUM(B73:AE73)</f>
        <v>3</v>
      </c>
    </row>
    <row r="74" spans="1:49" s="48" customFormat="1" ht="12.75" hidden="1" customHeight="1" x14ac:dyDescent="0.25">
      <c r="A74" s="48" t="s">
        <v>85</v>
      </c>
      <c r="B74" s="48">
        <f>IF(B24=3,C71,0)</f>
        <v>0</v>
      </c>
      <c r="D74" s="52">
        <f>IF(D24=3,C71,0)</f>
        <v>1</v>
      </c>
      <c r="E74" s="48">
        <f>IF(E24=3,F71,0)</f>
        <v>0</v>
      </c>
      <c r="G74" s="52">
        <f>IF(G24=3,F71,0)</f>
        <v>0</v>
      </c>
      <c r="H74" s="48">
        <f>IF(H24=3,I71,0)</f>
        <v>0</v>
      </c>
      <c r="J74" s="52">
        <f>IF(J24=3,I71,0)</f>
        <v>0</v>
      </c>
      <c r="K74" s="48">
        <f>IF(K24=3,L71,0)</f>
        <v>0</v>
      </c>
      <c r="M74" s="52">
        <f>IF(M24=3,L71,0)</f>
        <v>1</v>
      </c>
      <c r="N74" s="48">
        <f>IF(N24=3,O71,0)</f>
        <v>1</v>
      </c>
      <c r="P74" s="52">
        <f>IF(P24=3,O71,0)</f>
        <v>0</v>
      </c>
      <c r="Q74" s="48">
        <f>IF(Q24=3,R71,0)</f>
        <v>0</v>
      </c>
      <c r="S74" s="52">
        <f>IF(S24=3,R71,0)</f>
        <v>0</v>
      </c>
      <c r="T74" s="48">
        <f>IF(T24=3,U71,0)</f>
        <v>0</v>
      </c>
      <c r="V74" s="52">
        <f>IF(V24=3,U71,0)</f>
        <v>0</v>
      </c>
      <c r="W74" s="48">
        <f>IF(W24=3,X71,0)</f>
        <v>0</v>
      </c>
      <c r="Y74" s="52">
        <f>IF(Y24=3,X71,0)</f>
        <v>0</v>
      </c>
      <c r="Z74" s="48">
        <f>IF(Z24=3,AA71,0)</f>
        <v>0</v>
      </c>
      <c r="AB74" s="52">
        <f>IF(AB24=3,AA71,0)</f>
        <v>0</v>
      </c>
      <c r="AC74" s="48">
        <f>IF(AC24=3,AD71,0)</f>
        <v>0</v>
      </c>
      <c r="AE74" s="52">
        <f>IF(AE24=3,AD71,0)</f>
        <v>0</v>
      </c>
      <c r="AF74" s="48">
        <f>SUM(B74:AE74)</f>
        <v>3</v>
      </c>
    </row>
    <row r="75" spans="1:49" s="48" customFormat="1" ht="12.75" hidden="1" customHeight="1" x14ac:dyDescent="0.25">
      <c r="A75" s="48" t="s">
        <v>86</v>
      </c>
      <c r="B75" s="48">
        <f>IF(B24=4,C71,0)</f>
        <v>0</v>
      </c>
      <c r="D75" s="52">
        <f>IF(D24=4,C71,0)</f>
        <v>0</v>
      </c>
      <c r="E75" s="48">
        <f>IF(E24=4,F71,0)</f>
        <v>0</v>
      </c>
      <c r="G75" s="52">
        <f>IF(G24=4,F71,0)</f>
        <v>1</v>
      </c>
      <c r="H75" s="48">
        <f>IF(H24=4,I71,0)</f>
        <v>0</v>
      </c>
      <c r="J75" s="52">
        <f>IF(J24=4,I71,0)</f>
        <v>1</v>
      </c>
      <c r="K75" s="48">
        <f>IF(K24=4,L71,0)</f>
        <v>0</v>
      </c>
      <c r="M75" s="52">
        <f>IF(M24=4,L71,0)</f>
        <v>0</v>
      </c>
      <c r="N75" s="48">
        <f>IF(N24=4,O71,0)</f>
        <v>0</v>
      </c>
      <c r="P75" s="52">
        <f>IF(P24=4,O71,0)</f>
        <v>1</v>
      </c>
      <c r="Q75" s="48">
        <f>IF(Q24=4,R71,0)</f>
        <v>0</v>
      </c>
      <c r="S75" s="52">
        <f>IF(S24=4,R71,0)</f>
        <v>0</v>
      </c>
      <c r="T75" s="48">
        <f>IF(T24=4,U71,0)</f>
        <v>0</v>
      </c>
      <c r="V75" s="52">
        <f>IF(V24=4,U71,0)</f>
        <v>0</v>
      </c>
      <c r="W75" s="48">
        <f>IF(W24=4,X71,0)</f>
        <v>0</v>
      </c>
      <c r="Y75" s="52">
        <f>IF(Y24=4,X71,0)</f>
        <v>0</v>
      </c>
      <c r="Z75" s="48">
        <f>IF(Z24=4,AA71,0)</f>
        <v>0</v>
      </c>
      <c r="AB75" s="52">
        <f>IF(AB24=4,AA71,0)</f>
        <v>0</v>
      </c>
      <c r="AC75" s="48">
        <f>IF(AC24=4,AD71,0)</f>
        <v>0</v>
      </c>
      <c r="AE75" s="52">
        <f>IF(AE24=4,AD71,0)</f>
        <v>0</v>
      </c>
      <c r="AF75" s="48">
        <f>SUM(B75:AE75)</f>
        <v>3</v>
      </c>
    </row>
    <row r="76" spans="1:49" s="48" customFormat="1" ht="12.75" hidden="1" customHeight="1" x14ac:dyDescent="0.25">
      <c r="A76" s="48" t="s">
        <v>87</v>
      </c>
      <c r="B76" s="48">
        <f>IF(B24=5,C71,0)</f>
        <v>0</v>
      </c>
      <c r="D76" s="52">
        <f>IF(D24=5,C71,0)</f>
        <v>0</v>
      </c>
      <c r="E76" s="48">
        <f>IF(E24=5,F71,0)</f>
        <v>0</v>
      </c>
      <c r="G76" s="52">
        <f>IF(G24=5,F71,0)</f>
        <v>0</v>
      </c>
      <c r="H76" s="48">
        <f>IF(H24=5,I71,0)</f>
        <v>0</v>
      </c>
      <c r="J76" s="52">
        <f>IF(J24=5,I71,0)</f>
        <v>0</v>
      </c>
      <c r="K76" s="48">
        <f>IF(K24=5,L71,0)</f>
        <v>0</v>
      </c>
      <c r="M76" s="52">
        <f>IF(M24=5,L71,0)</f>
        <v>0</v>
      </c>
      <c r="N76" s="48">
        <f>IF(N24=5,O71,0)</f>
        <v>0</v>
      </c>
      <c r="P76" s="52">
        <f>IF(P24=5,O71,0)</f>
        <v>0</v>
      </c>
      <c r="Q76" s="48">
        <f>IF(Q24=5,R71,0)</f>
        <v>0</v>
      </c>
      <c r="S76" s="52">
        <f>IF(S24=5,R71,0)</f>
        <v>0</v>
      </c>
      <c r="T76" s="48">
        <f>IF(T24=5,U71,0)</f>
        <v>0</v>
      </c>
      <c r="V76" s="52">
        <f>IF(V24=5,U71,0)</f>
        <v>0</v>
      </c>
      <c r="W76" s="48">
        <f>IF(W24=5,X71,0)</f>
        <v>0</v>
      </c>
      <c r="Y76" s="52">
        <f>IF(Y24=5,X71,0)</f>
        <v>0</v>
      </c>
      <c r="Z76" s="48">
        <f>IF(Z24=5,AA71,0)</f>
        <v>0</v>
      </c>
      <c r="AB76" s="52">
        <f>IF(AB24=5,AA71,0)</f>
        <v>0</v>
      </c>
      <c r="AC76" s="48">
        <f>IF(AC24=5,AD71,0)</f>
        <v>0</v>
      </c>
      <c r="AE76" s="52">
        <f>IF(AE24=5,AD71,0)</f>
        <v>0</v>
      </c>
      <c r="AF76" s="48">
        <f>SUM(B76:AE76)</f>
        <v>0</v>
      </c>
      <c r="AT76" s="55"/>
      <c r="AU76" s="55"/>
      <c r="AV76" s="55"/>
    </row>
    <row r="77" spans="1:49" hidden="1" x14ac:dyDescent="0.2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4"/>
      <c r="AO77" s="74"/>
      <c r="AP77" s="74"/>
      <c r="AQ77" s="74"/>
      <c r="AR77" s="55"/>
      <c r="AS77" s="55"/>
      <c r="AT77" s="55"/>
      <c r="AU77" s="55"/>
      <c r="AV77" s="55"/>
      <c r="AW77" s="56"/>
    </row>
    <row r="78" spans="1:49" s="55" customFormat="1" hidden="1" x14ac:dyDescent="0.25">
      <c r="A78" s="57"/>
      <c r="B78" s="57"/>
      <c r="C78" s="57" t="s">
        <v>94</v>
      </c>
      <c r="D78" s="57">
        <v>1</v>
      </c>
      <c r="E78" s="57"/>
      <c r="F78" s="57"/>
      <c r="G78" s="57">
        <v>2</v>
      </c>
      <c r="H78" s="57"/>
      <c r="I78" s="57"/>
      <c r="J78" s="57">
        <v>3</v>
      </c>
      <c r="K78" s="57"/>
      <c r="L78" s="57"/>
      <c r="M78" s="57">
        <v>4</v>
      </c>
      <c r="N78" s="57"/>
      <c r="O78" s="57"/>
      <c r="P78" s="57">
        <v>5</v>
      </c>
      <c r="Q78" s="57"/>
      <c r="R78" s="57"/>
      <c r="S78" s="57">
        <v>6</v>
      </c>
      <c r="T78" s="57"/>
      <c r="U78" s="57"/>
      <c r="V78" s="57">
        <v>7</v>
      </c>
      <c r="W78" s="57"/>
      <c r="X78" s="57"/>
      <c r="Y78" s="57">
        <v>8</v>
      </c>
      <c r="Z78" s="57"/>
      <c r="AA78" s="57"/>
      <c r="AB78" s="57">
        <v>9</v>
      </c>
      <c r="AC78" s="57"/>
      <c r="AD78" s="57"/>
      <c r="AE78" s="57">
        <v>10</v>
      </c>
      <c r="AF78" s="4"/>
      <c r="AG78" s="57"/>
      <c r="AI78" s="58"/>
      <c r="AJ78" s="4"/>
      <c r="AK78" s="4"/>
      <c r="AL78" s="4"/>
      <c r="AM78" s="4"/>
      <c r="AN78" s="4"/>
      <c r="AO78" s="4"/>
      <c r="AT78" s="58" t="s">
        <v>95</v>
      </c>
      <c r="AW78" s="59"/>
    </row>
    <row r="79" spans="1:49" s="55" customFormat="1" hidden="1" x14ac:dyDescent="0.25">
      <c r="A79" s="60">
        <v>1</v>
      </c>
      <c r="B79" s="60" t="str">
        <f>E8</f>
        <v>Emerald City 12-Dev</v>
      </c>
      <c r="C79" s="60">
        <f>VLOOKUP(B79,AU$3:AW$33,3,FALSE)</f>
        <v>1200</v>
      </c>
      <c r="D79" s="60">
        <f>IF(B72,B87,IF(D72,D87,C79))</f>
        <v>1200</v>
      </c>
      <c r="E79" s="60"/>
      <c r="F79" s="60"/>
      <c r="G79" s="60">
        <f>IF(E72,E87,IF(G72,G87,D79))</f>
        <v>1183.2831524204382</v>
      </c>
      <c r="H79" s="60"/>
      <c r="I79" s="60"/>
      <c r="J79" s="60">
        <f>IF(H72,H87,IF(J72,J87,G79))</f>
        <v>1183.2831524204382</v>
      </c>
      <c r="K79" s="60"/>
      <c r="L79" s="60"/>
      <c r="M79" s="60">
        <f>IF(K72,K87,IF(M72,M87,J79))</f>
        <v>1200.7365700821708</v>
      </c>
      <c r="N79" s="60"/>
      <c r="O79" s="60"/>
      <c r="P79" s="60">
        <f>IF(N72,N87,IF(P72,P87,M79))</f>
        <v>1200.7365700821708</v>
      </c>
      <c r="Q79" s="60"/>
      <c r="R79" s="60"/>
      <c r="S79" s="60">
        <f>IF(Q72,Q87,IF(S72,S87,P79))</f>
        <v>1214.3094996726038</v>
      </c>
      <c r="T79" s="60"/>
      <c r="U79" s="60"/>
      <c r="V79" s="60">
        <f>IF(T72,T87,IF(V72,V87,S79))</f>
        <v>1214.3094996726038</v>
      </c>
      <c r="W79" s="60"/>
      <c r="X79" s="60"/>
      <c r="Y79" s="60">
        <f>IF(W72,W87,IF(Y72,Y87,V79))</f>
        <v>1214.3094996726038</v>
      </c>
      <c r="Z79" s="60"/>
      <c r="AA79" s="60"/>
      <c r="AB79" s="60">
        <f>IF(Z72,Z87,IF(AB72,AB87,Y79))</f>
        <v>1214.3094996726038</v>
      </c>
      <c r="AC79" s="60"/>
      <c r="AD79" s="60"/>
      <c r="AE79" s="60">
        <f>IF(AC72,AC87,IF(AE72,AE87,AB79))</f>
        <v>1214.3094996726038</v>
      </c>
      <c r="AF79" s="4"/>
      <c r="AG79" s="4"/>
      <c r="AJ79" s="4"/>
      <c r="AK79" s="4"/>
      <c r="AL79" s="4"/>
      <c r="AM79" s="4"/>
      <c r="AN79" s="4"/>
      <c r="AO79" s="4"/>
      <c r="AT79" s="55" t="str">
        <f>B79</f>
        <v>Emerald City 12-Dev</v>
      </c>
      <c r="AU79" s="55">
        <f>AE79</f>
        <v>1214.3094996726038</v>
      </c>
      <c r="AW79" s="59"/>
    </row>
    <row r="80" spans="1:49" s="55" customFormat="1" hidden="1" x14ac:dyDescent="0.25">
      <c r="A80" s="60">
        <v>2</v>
      </c>
      <c r="B80" s="60" t="str">
        <f>E10</f>
        <v>Kershaw Dev 12 White</v>
      </c>
      <c r="C80" s="60">
        <f>VLOOKUP(B80,AU$3:AW$33,3,FALSE)</f>
        <v>1176.7513934507317</v>
      </c>
      <c r="D80" s="60">
        <f>IF(B73,B87,IF(D73,D87,C80))</f>
        <v>1161.8204362424126</v>
      </c>
      <c r="E80" s="60"/>
      <c r="F80" s="60"/>
      <c r="G80" s="60">
        <f>IF(E73,E87,IF(G73,G87,D80))</f>
        <v>1161.8204362424126</v>
      </c>
      <c r="H80" s="60"/>
      <c r="I80" s="60"/>
      <c r="J80" s="60">
        <f>IF(H73,H87,IF(J73,J87,G80))</f>
        <v>1147.6234904490175</v>
      </c>
      <c r="K80" s="60"/>
      <c r="L80" s="60"/>
      <c r="M80" s="60">
        <f>IF(K73,K87,IF(M73,M87,J80))</f>
        <v>1147.6234904490175</v>
      </c>
      <c r="N80" s="60"/>
      <c r="O80" s="60"/>
      <c r="P80" s="60">
        <f>IF(N73,N87,IF(P73,P87,M80))</f>
        <v>1147.6234904490175</v>
      </c>
      <c r="Q80" s="60"/>
      <c r="R80" s="60"/>
      <c r="S80" s="60">
        <f>IF(Q73,Q87,IF(S73,S87,P80))</f>
        <v>1134.0505608585845</v>
      </c>
      <c r="T80" s="60"/>
      <c r="U80" s="60"/>
      <c r="V80" s="60">
        <f>IF(T73,T87,IF(V73,V87,S80))</f>
        <v>1134.0505608585845</v>
      </c>
      <c r="W80" s="60"/>
      <c r="X80" s="60"/>
      <c r="Y80" s="60">
        <f>IF(W73,W87,IF(Y73,Y87,V80))</f>
        <v>1134.0505608585845</v>
      </c>
      <c r="Z80" s="60"/>
      <c r="AA80" s="60"/>
      <c r="AB80" s="60">
        <f>IF(Z73,Z87,IF(AB73,AB87,Y80))</f>
        <v>1134.0505608585845</v>
      </c>
      <c r="AC80" s="60"/>
      <c r="AD80" s="60"/>
      <c r="AE80" s="60">
        <f>IF(AC73,AC87,IF(AE73,AE87,AB80))</f>
        <v>1134.0505608585845</v>
      </c>
      <c r="AF80" s="4"/>
      <c r="AG80" s="4"/>
      <c r="AJ80" s="4"/>
      <c r="AL80" s="4"/>
      <c r="AM80" s="4"/>
      <c r="AN80" s="4"/>
      <c r="AO80" s="4"/>
      <c r="AT80" s="55" t="str">
        <f>B80</f>
        <v>Kershaw Dev 12 White</v>
      </c>
      <c r="AU80" s="55">
        <f>AE80</f>
        <v>1134.0505608585845</v>
      </c>
      <c r="AW80" s="59"/>
    </row>
    <row r="81" spans="1:49" s="55" customFormat="1" hidden="1" x14ac:dyDescent="0.25">
      <c r="A81" s="60">
        <v>3</v>
      </c>
      <c r="B81" s="60" t="str">
        <f>E12</f>
        <v>Kershaw Dev 12 Blue</v>
      </c>
      <c r="C81" s="60">
        <f>VLOOKUP(B81,AU$3:AW$33,3,FALSE)</f>
        <v>1200</v>
      </c>
      <c r="D81" s="60">
        <f>IF(B74,B87,IF(D74,D87,C81))</f>
        <v>1214.9309572083191</v>
      </c>
      <c r="E81" s="60"/>
      <c r="F81" s="60"/>
      <c r="G81" s="60">
        <f>IF(E74,E87,IF(G74,G87,D81))</f>
        <v>1214.9309572083191</v>
      </c>
      <c r="H81" s="60"/>
      <c r="I81" s="60"/>
      <c r="J81" s="60">
        <f>IF(H74,H87,IF(J74,J87,G81))</f>
        <v>1214.9309572083191</v>
      </c>
      <c r="K81" s="60"/>
      <c r="L81" s="60"/>
      <c r="M81" s="60">
        <f>IF(K74,K87,IF(M74,M87,J81))</f>
        <v>1197.4775395465865</v>
      </c>
      <c r="N81" s="60"/>
      <c r="O81" s="60"/>
      <c r="P81" s="60">
        <f>IF(N74,N87,IF(P74,P87,M81))</f>
        <v>1182.2992844711323</v>
      </c>
      <c r="Q81" s="60"/>
      <c r="R81" s="60"/>
      <c r="S81" s="60">
        <f>IF(Q74,Q87,IF(S74,S87,P81))</f>
        <v>1182.2992844711323</v>
      </c>
      <c r="T81" s="60"/>
      <c r="U81" s="60"/>
      <c r="V81" s="60">
        <f>IF(T74,T87,IF(V74,V87,S81))</f>
        <v>1182.2992844711323</v>
      </c>
      <c r="W81" s="60"/>
      <c r="X81" s="60"/>
      <c r="Y81" s="60">
        <f>IF(W74,W87,IF(Y74,Y87,V81))</f>
        <v>1182.2992844711323</v>
      </c>
      <c r="Z81" s="60"/>
      <c r="AA81" s="60"/>
      <c r="AB81" s="60">
        <f>IF(Z74,Z87,IF(AB74,AB87,Y81))</f>
        <v>1182.2992844711323</v>
      </c>
      <c r="AC81" s="60"/>
      <c r="AD81" s="60"/>
      <c r="AE81" s="60">
        <f>IF(AC74,AC87,IF(AE74,AE87,AB81))</f>
        <v>1182.2992844711323</v>
      </c>
      <c r="AF81" s="4"/>
      <c r="AG81" s="4"/>
      <c r="AJ81" s="4"/>
      <c r="AL81" s="4"/>
      <c r="AM81" s="4"/>
      <c r="AN81" s="4"/>
      <c r="AO81" s="4"/>
      <c r="AT81" s="55" t="str">
        <f>B81</f>
        <v>Kershaw Dev 12 Blue</v>
      </c>
      <c r="AU81" s="55">
        <f>AE81</f>
        <v>1182.2992844711323</v>
      </c>
      <c r="AW81" s="59"/>
    </row>
    <row r="82" spans="1:49" s="55" customFormat="1" hidden="1" x14ac:dyDescent="0.25">
      <c r="A82" s="60">
        <v>4</v>
      </c>
      <c r="B82" s="60" t="str">
        <f>E14</f>
        <v>MBVC 12U Elite Karla</v>
      </c>
      <c r="C82" s="60">
        <f>VLOOKUP(B82,AU$3:AW$33,3,FALSE)</f>
        <v>1184.4234246867265</v>
      </c>
      <c r="D82" s="60">
        <f>IF(B75,B87,IF(D75,D87,C82))</f>
        <v>1184.4234246867265</v>
      </c>
      <c r="E82" s="60"/>
      <c r="F82" s="60"/>
      <c r="G82" s="60">
        <f>IF(E75,E87,IF(G75,G87,D82))</f>
        <v>1201.1402722662883</v>
      </c>
      <c r="H82" s="60"/>
      <c r="I82" s="60"/>
      <c r="J82" s="60">
        <f>IF(H75,H87,IF(J75,J87,G82))</f>
        <v>1215.3372180596834</v>
      </c>
      <c r="K82" s="60"/>
      <c r="L82" s="60"/>
      <c r="M82" s="60">
        <f>IF(K75,K87,IF(M75,M87,J82))</f>
        <v>1215.3372180596834</v>
      </c>
      <c r="N82" s="60"/>
      <c r="O82" s="60"/>
      <c r="P82" s="60">
        <f>IF(N75,N87,IF(P75,P87,M82))</f>
        <v>1230.5154731351377</v>
      </c>
      <c r="Q82" s="60"/>
      <c r="R82" s="60"/>
      <c r="S82" s="60">
        <f>IF(Q75,Q87,IF(S75,S87,P82))</f>
        <v>1230.5154731351377</v>
      </c>
      <c r="T82" s="60"/>
      <c r="U82" s="60"/>
      <c r="V82" s="60">
        <f>IF(T75,T87,IF(V75,V87,S82))</f>
        <v>1230.5154731351377</v>
      </c>
      <c r="W82" s="60"/>
      <c r="X82" s="60"/>
      <c r="Y82" s="60">
        <f>IF(W75,W87,IF(Y75,Y87,V82))</f>
        <v>1230.5154731351377</v>
      </c>
      <c r="Z82" s="60"/>
      <c r="AA82" s="60"/>
      <c r="AB82" s="60">
        <f>IF(Z75,Z87,IF(AB75,AB87,Y82))</f>
        <v>1230.5154731351377</v>
      </c>
      <c r="AC82" s="60"/>
      <c r="AD82" s="60"/>
      <c r="AE82" s="60">
        <f>IF(AC75,AC87,IF(AE75,AE87,AB82))</f>
        <v>1230.5154731351377</v>
      </c>
      <c r="AF82" s="4"/>
      <c r="AG82" s="4"/>
      <c r="AJ82" s="4"/>
      <c r="AL82" s="4"/>
      <c r="AM82" s="4"/>
      <c r="AN82" s="4"/>
      <c r="AO82" s="4"/>
      <c r="AT82" s="55" t="str">
        <f>B82</f>
        <v>MBVC 12U Elite Karla</v>
      </c>
      <c r="AU82" s="55">
        <f>AE82</f>
        <v>1230.5154731351377</v>
      </c>
      <c r="AW82" s="59"/>
    </row>
    <row r="83" spans="1:49" s="55" customFormat="1" hidden="1" x14ac:dyDescent="0.25">
      <c r="A83" s="60">
        <v>5</v>
      </c>
      <c r="B83" s="60">
        <f>E16</f>
        <v>0</v>
      </c>
      <c r="C83" s="60" t="e">
        <f>VLOOKUP(B83,AU$3:AW$33,3,FALSE)</f>
        <v>#N/A</v>
      </c>
      <c r="D83" s="60" t="e">
        <f>IF(B76,B87,IF(D76,D87,C83))</f>
        <v>#N/A</v>
      </c>
      <c r="E83" s="60"/>
      <c r="F83" s="60"/>
      <c r="G83" s="60" t="e">
        <f>IF(E76,E87,IF(G76,G87,D83))</f>
        <v>#N/A</v>
      </c>
      <c r="H83" s="60"/>
      <c r="I83" s="60"/>
      <c r="J83" s="60" t="e">
        <f>IF(H76,H87,IF(J76,J87,G83))</f>
        <v>#N/A</v>
      </c>
      <c r="K83" s="60"/>
      <c r="L83" s="60"/>
      <c r="M83" s="60" t="e">
        <f>IF(K76,K87,IF(M76,M87,J83))</f>
        <v>#N/A</v>
      </c>
      <c r="N83" s="60"/>
      <c r="O83" s="60"/>
      <c r="P83" s="60" t="e">
        <f>IF(N76,N87,IF(P76,P87,M83))</f>
        <v>#N/A</v>
      </c>
      <c r="Q83" s="60"/>
      <c r="R83" s="60"/>
      <c r="S83" s="60" t="e">
        <f>IF(Q76,Q87,IF(S76,S87,P83))</f>
        <v>#N/A</v>
      </c>
      <c r="T83" s="60"/>
      <c r="U83" s="60"/>
      <c r="V83" s="60" t="e">
        <f>IF(T76,T87,IF(V76,V87,S83))</f>
        <v>#N/A</v>
      </c>
      <c r="W83" s="60"/>
      <c r="X83" s="60"/>
      <c r="Y83" s="60" t="e">
        <f>IF(W76,W87,IF(Y76,Y87,V83))</f>
        <v>#N/A</v>
      </c>
      <c r="Z83" s="60"/>
      <c r="AA83" s="60"/>
      <c r="AB83" s="60" t="e">
        <f>IF(Z76,Z87,IF(AB76,AB87,Y83))</f>
        <v>#N/A</v>
      </c>
      <c r="AC83" s="60"/>
      <c r="AD83" s="60"/>
      <c r="AE83" s="60" t="e">
        <f>IF(AC76,AC87,IF(AE76,AE87,AB83))</f>
        <v>#N/A</v>
      </c>
      <c r="AF83" s="4"/>
      <c r="AG83" s="4"/>
      <c r="AJ83" s="4"/>
      <c r="AL83" s="4"/>
      <c r="AM83" s="4"/>
      <c r="AN83" s="4"/>
      <c r="AO83" s="4"/>
      <c r="AT83" s="55">
        <f>B83</f>
        <v>0</v>
      </c>
      <c r="AU83" s="55" t="e">
        <f>AE83</f>
        <v>#N/A</v>
      </c>
      <c r="AW83" s="59"/>
    </row>
    <row r="84" spans="1:49" s="55" customFormat="1" hidden="1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4"/>
      <c r="AG84" s="4"/>
      <c r="AJ84" s="4"/>
      <c r="AL84" s="4"/>
      <c r="AM84" s="4"/>
      <c r="AN84" s="4"/>
      <c r="AO84" s="4"/>
      <c r="AW84" s="59"/>
    </row>
    <row r="85" spans="1:49" s="55" customFormat="1" hidden="1" x14ac:dyDescent="0.25">
      <c r="A85" s="60" t="s">
        <v>96</v>
      </c>
      <c r="B85" s="60">
        <f>VLOOKUP(B24,$A79:$AE83,3,FALSE)</f>
        <v>1176.7513934507317</v>
      </c>
      <c r="C85" s="60">
        <v>1</v>
      </c>
      <c r="D85" s="60">
        <f>VLOOKUP(D24,$A79:$AE83,3,FALSE)</f>
        <v>1200</v>
      </c>
      <c r="E85" s="60">
        <f>VLOOKUP(E24,$A79:$AE83,4,FALSE)</f>
        <v>1200</v>
      </c>
      <c r="F85" s="60">
        <v>2</v>
      </c>
      <c r="G85" s="60">
        <f>VLOOKUP(G24,$A79:$AE83,4,FALSE)</f>
        <v>1184.4234246867265</v>
      </c>
      <c r="H85" s="60">
        <f>VLOOKUP(H24,$A79:$AE83,7,FALSE)</f>
        <v>1161.8204362424126</v>
      </c>
      <c r="I85" s="60">
        <v>3</v>
      </c>
      <c r="J85" s="60">
        <f>VLOOKUP(J24,$A79:$AE83,7,FALSE)</f>
        <v>1201.1402722662883</v>
      </c>
      <c r="K85" s="60">
        <f>VLOOKUP(K24,$A79:$AE83,10,FALSE)</f>
        <v>1183.2831524204382</v>
      </c>
      <c r="L85" s="60">
        <v>4</v>
      </c>
      <c r="M85" s="60">
        <f>VLOOKUP(M24,$A79:$AE83,10,FALSE)</f>
        <v>1214.9309572083191</v>
      </c>
      <c r="N85" s="60">
        <f>VLOOKUP(N24,$A79:$AE83,13,FALSE)</f>
        <v>1197.4775395465865</v>
      </c>
      <c r="O85" s="60">
        <v>5</v>
      </c>
      <c r="P85" s="60">
        <f>VLOOKUP(P24,$A79:$AE83,13,FALSE)</f>
        <v>1215.3372180596834</v>
      </c>
      <c r="Q85" s="60">
        <f>VLOOKUP(Q24,$A79:$AE83,16,FALSE)</f>
        <v>1200.7365700821708</v>
      </c>
      <c r="R85" s="60">
        <v>6</v>
      </c>
      <c r="S85" s="60">
        <f>VLOOKUP(S24,$A79:$AE83,16,FALSE)</f>
        <v>1147.6234904490175</v>
      </c>
      <c r="T85" s="60" t="e">
        <f>VLOOKUP(T24,$A79:$AE83,19,FALSE)</f>
        <v>#N/A</v>
      </c>
      <c r="U85" s="60">
        <v>7</v>
      </c>
      <c r="V85" s="60" t="e">
        <f>VLOOKUP(V24,$A79:$AE83,19,FALSE)</f>
        <v>#N/A</v>
      </c>
      <c r="W85" s="60" t="e">
        <f>VLOOKUP(W24,$A79:$AE83,22,FALSE)</f>
        <v>#N/A</v>
      </c>
      <c r="X85" s="60">
        <v>8</v>
      </c>
      <c r="Y85" s="60" t="e">
        <f>VLOOKUP(Y24,$A79:$AE83,22,FALSE)</f>
        <v>#N/A</v>
      </c>
      <c r="Z85" s="60" t="e">
        <f>VLOOKUP(Z24,$A79:$AE83,25,FALSE)</f>
        <v>#N/A</v>
      </c>
      <c r="AA85" s="60">
        <v>9</v>
      </c>
      <c r="AB85" s="60" t="e">
        <f>VLOOKUP(AB24,$A79:$AE83,25,FALSE)</f>
        <v>#N/A</v>
      </c>
      <c r="AC85" s="60" t="e">
        <f>VLOOKUP(AC24,$A79:$AE83,28,FALSE)</f>
        <v>#N/A</v>
      </c>
      <c r="AD85" s="60">
        <v>10</v>
      </c>
      <c r="AE85" s="60" t="e">
        <f>VLOOKUP(AE24,$A79:$AE83,28,FALSE)</f>
        <v>#N/A</v>
      </c>
      <c r="AF85" s="4"/>
      <c r="AG85" s="73"/>
      <c r="AH85" s="73"/>
      <c r="AI85" s="73"/>
      <c r="AJ85" s="73"/>
      <c r="AK85" s="73"/>
      <c r="AL85" s="73"/>
      <c r="AM85" s="73"/>
      <c r="AN85" s="74"/>
      <c r="AO85" s="74"/>
      <c r="AP85" s="74"/>
      <c r="AQ85" s="74"/>
      <c r="AW85" s="59"/>
    </row>
    <row r="86" spans="1:49" s="65" customFormat="1" hidden="1" x14ac:dyDescent="0.25">
      <c r="A86" s="61" t="s">
        <v>97</v>
      </c>
      <c r="B86" s="61">
        <f>1/(1+(10^-((B85-D85)/400)))*(B36+D36)</f>
        <v>0.46659241275997559</v>
      </c>
      <c r="C86" s="61"/>
      <c r="D86" s="61">
        <f>1/(1+(10^-((D85-B85)/400)))*(B36+D36)</f>
        <v>0.53340758724002435</v>
      </c>
      <c r="E86" s="61">
        <f>1/(1+(10^-((E85-G85)/400)))*(E36+G36)</f>
        <v>0.52240148686130394</v>
      </c>
      <c r="F86" s="61"/>
      <c r="G86" s="61">
        <f>1/(1+(10^-((G85-E85)/400)))*(E36+G36)</f>
        <v>0.47759851313869606</v>
      </c>
      <c r="H86" s="61">
        <f>1/(1+(10^-((H85-J85)/400)))*(H36+J36)</f>
        <v>0.44365455604359394</v>
      </c>
      <c r="I86" s="61"/>
      <c r="J86" s="61">
        <f>1/(1+(10^-((J85-H85)/400)))*(H36+J36)</f>
        <v>0.55634544395640606</v>
      </c>
      <c r="K86" s="61">
        <f>1/(1+(10^-((K85-M85)/400)))*(K36+M36)</f>
        <v>0.45458069807085394</v>
      </c>
      <c r="L86" s="61"/>
      <c r="M86" s="61">
        <f>1/(1+(10^-((M85-K85)/400)))*(K36+M36)</f>
        <v>0.54541930192914601</v>
      </c>
      <c r="N86" s="61">
        <f>1/(1+(10^-((N85-P85)/400)))*(N36+P36)</f>
        <v>0.47432047110794739</v>
      </c>
      <c r="O86" s="61"/>
      <c r="P86" s="61">
        <f>1/(1+(10^-((P85-N85)/400)))*(N36+P36)</f>
        <v>0.52567952889205261</v>
      </c>
      <c r="Q86" s="61">
        <f>1/(1+(10^-((Q85-S85)/400)))*(Q36+S36)</f>
        <v>0.57584595029897057</v>
      </c>
      <c r="R86" s="61"/>
      <c r="S86" s="61">
        <f>1/(1+(10^-((S85-Q85)/400)))*(Q36+S36)</f>
        <v>0.42415404970102949</v>
      </c>
      <c r="T86" s="61" t="e">
        <f>1/(1+(10^-((T85-V85)/400)))*(T36+V36)</f>
        <v>#N/A</v>
      </c>
      <c r="U86" s="61"/>
      <c r="V86" s="61" t="e">
        <f>1/(1+(10^-((V85-T85)/400)))*(T36+V36)</f>
        <v>#N/A</v>
      </c>
      <c r="W86" s="61" t="e">
        <f>1/(1+(10^-((W85-Y85)/400)))*(W36+Y36)</f>
        <v>#N/A</v>
      </c>
      <c r="X86" s="61"/>
      <c r="Y86" s="61" t="e">
        <f>1/(1+(10^-((Y85-W85)/400)))*(W36+Y36)</f>
        <v>#N/A</v>
      </c>
      <c r="Z86" s="61" t="e">
        <f>1/(1+(10^-((Z85-AB85)/400)))*(Z36+AB36)</f>
        <v>#N/A</v>
      </c>
      <c r="AA86" s="61"/>
      <c r="AB86" s="61" t="e">
        <f>1/(1+(10^-((AB85-Z85)/400)))*(Z36+AB36)</f>
        <v>#N/A</v>
      </c>
      <c r="AC86" s="61" t="e">
        <f>1/(1+(10^-((AC85-AE85)/400)))*(AC36+AE36)</f>
        <v>#N/A</v>
      </c>
      <c r="AD86" s="61"/>
      <c r="AE86" s="61" t="e">
        <f>1/(1+(10^-((AE85-AC85)/400)))*(AC36+AE36)</f>
        <v>#N/A</v>
      </c>
      <c r="AF86" s="62"/>
      <c r="AG86" s="63"/>
      <c r="AH86" s="63"/>
      <c r="AI86" s="63"/>
      <c r="AJ86" s="63"/>
      <c r="AK86" s="63"/>
      <c r="AL86" s="63"/>
      <c r="AM86" s="63"/>
      <c r="AN86" s="64"/>
      <c r="AO86" s="64"/>
      <c r="AP86" s="64"/>
      <c r="AQ86" s="64"/>
      <c r="AW86" s="66"/>
    </row>
    <row r="87" spans="1:49" s="71" customFormat="1" hidden="1" x14ac:dyDescent="0.25">
      <c r="A87" s="67" t="s">
        <v>98</v>
      </c>
      <c r="B87" s="67">
        <f>B85+(B36-B86)*$BA$1</f>
        <v>1161.8204362424126</v>
      </c>
      <c r="C87" s="67"/>
      <c r="D87" s="67">
        <f>D85+(D36-D86)*$BA$1</f>
        <v>1214.9309572083191</v>
      </c>
      <c r="E87" s="67">
        <f>E85+(E36-E86)*$BA$1</f>
        <v>1183.2831524204382</v>
      </c>
      <c r="F87" s="67"/>
      <c r="G87" s="67">
        <f>G85+(G36-G86)*$BA$1</f>
        <v>1201.1402722662883</v>
      </c>
      <c r="H87" s="67">
        <f>H85+(H36-H86)*$BA$1</f>
        <v>1147.6234904490175</v>
      </c>
      <c r="I87" s="67"/>
      <c r="J87" s="67">
        <f>J85+(J36-J86)*$BA$1</f>
        <v>1215.3372180596834</v>
      </c>
      <c r="K87" s="67">
        <f>K85+(K36-K86)*$BA$1</f>
        <v>1200.7365700821708</v>
      </c>
      <c r="L87" s="67"/>
      <c r="M87" s="67">
        <f>M85+(M36-M86)*$BA$1</f>
        <v>1197.4775395465865</v>
      </c>
      <c r="N87" s="67">
        <f>N85+(N36-N86)*$BA$1</f>
        <v>1182.2992844711323</v>
      </c>
      <c r="O87" s="67"/>
      <c r="P87" s="67">
        <f>P85+(P36-P86)*$BA$1</f>
        <v>1230.5154731351377</v>
      </c>
      <c r="Q87" s="67">
        <f>Q85+(Q36-Q86)*$BA$1</f>
        <v>1214.3094996726038</v>
      </c>
      <c r="R87" s="67"/>
      <c r="S87" s="67">
        <f>S85+(S36-S86)*$BA$1</f>
        <v>1134.0505608585845</v>
      </c>
      <c r="T87" s="67" t="e">
        <f>T85+(T36-T86)*$BA$1</f>
        <v>#N/A</v>
      </c>
      <c r="U87" s="67"/>
      <c r="V87" s="67" t="e">
        <f>V85+(V36-V86)*$BA$1</f>
        <v>#N/A</v>
      </c>
      <c r="W87" s="67" t="e">
        <f>W85+(W36-W86)*$BA$1</f>
        <v>#N/A</v>
      </c>
      <c r="X87" s="67"/>
      <c r="Y87" s="67" t="e">
        <f>Y85+(Y36-Y86)*$BA$1</f>
        <v>#N/A</v>
      </c>
      <c r="Z87" s="67" t="e">
        <f>Z85+(Z36-Z86)*$BA$1</f>
        <v>#N/A</v>
      </c>
      <c r="AA87" s="67"/>
      <c r="AB87" s="67" t="e">
        <f>AB85+(AB36-AB86)*$BA$1</f>
        <v>#N/A</v>
      </c>
      <c r="AC87" s="67" t="e">
        <f>AC85+(AC36-AC86)*$BA$1</f>
        <v>#N/A</v>
      </c>
      <c r="AD87" s="67"/>
      <c r="AE87" s="67" t="e">
        <f>AE85+(AE36-AE86)*$BA$1</f>
        <v>#N/A</v>
      </c>
      <c r="AF87" s="68"/>
      <c r="AG87" s="69"/>
      <c r="AH87" s="69"/>
      <c r="AI87" s="69"/>
      <c r="AJ87" s="69"/>
      <c r="AK87" s="69"/>
      <c r="AL87" s="69"/>
      <c r="AM87" s="69"/>
      <c r="AN87" s="70"/>
      <c r="AO87" s="70"/>
      <c r="AP87" s="70"/>
      <c r="AQ87" s="70"/>
      <c r="AW87" s="72"/>
    </row>
    <row r="88" spans="1:49" s="71" customFormat="1" hidden="1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8"/>
      <c r="AG88" s="69"/>
      <c r="AH88" s="69"/>
      <c r="AI88" s="69"/>
      <c r="AJ88" s="69"/>
      <c r="AK88" s="69"/>
      <c r="AL88" s="69"/>
      <c r="AM88" s="69"/>
      <c r="AN88" s="70"/>
      <c r="AO88" s="70"/>
      <c r="AP88" s="70"/>
      <c r="AQ88" s="70"/>
      <c r="AW88" s="72"/>
    </row>
    <row r="89" spans="1:49" s="55" customFormat="1" x14ac:dyDescent="0.25">
      <c r="A89" s="151" t="str">
        <f>IF($AK10=1,"Pool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Pool Tiereaker : 1) Matches Won vs Lost (if 3 way tie then #4)  2) Head to Head  3) Game Win %  4) Total Pool Net Points  5) Flip a Coin</v>
      </c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2"/>
      <c r="AO89" s="152"/>
      <c r="AP89" s="152"/>
      <c r="AQ89" s="152"/>
    </row>
    <row r="90" spans="1:49" s="55" customFormat="1" ht="13.8" thickBot="1" x14ac:dyDescent="0.3">
      <c r="A90" s="153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T90" s="4"/>
      <c r="AU90" s="4"/>
      <c r="AV90" s="4"/>
    </row>
    <row r="91" spans="1:49" ht="24" customHeight="1" thickBot="1" x14ac:dyDescent="0.3">
      <c r="A91" s="21" t="s">
        <v>26</v>
      </c>
      <c r="B91" s="22" t="s">
        <v>123</v>
      </c>
      <c r="C91" s="230" t="s">
        <v>28</v>
      </c>
      <c r="D91" s="231"/>
      <c r="E91" s="231"/>
      <c r="F91" s="231"/>
      <c r="G91" s="231"/>
      <c r="H91" s="232"/>
      <c r="I91" s="233">
        <v>2</v>
      </c>
      <c r="J91" s="234"/>
      <c r="K91" s="235" t="str">
        <f>"Pool "&amp;B91&amp;" - Round 1 - Court "&amp;I91</f>
        <v>Pool B - Round 1 - Court 2</v>
      </c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7"/>
      <c r="AJ91" s="6"/>
      <c r="AK91" s="6"/>
      <c r="AL91" s="6"/>
      <c r="AM91" s="6"/>
      <c r="AN91" s="6"/>
      <c r="AO91" s="6"/>
      <c r="AP91" s="6"/>
      <c r="AQ91" s="6"/>
    </row>
    <row r="92" spans="1:49" ht="27" customHeight="1" thickBot="1" x14ac:dyDescent="0.3">
      <c r="A92" s="23" t="s">
        <v>31</v>
      </c>
      <c r="B92" s="238" t="s">
        <v>8</v>
      </c>
      <c r="C92" s="239"/>
      <c r="D92" s="239"/>
      <c r="E92" s="239"/>
      <c r="F92" s="239"/>
      <c r="G92" s="239"/>
      <c r="H92" s="239"/>
      <c r="I92" s="239"/>
      <c r="J92" s="239"/>
      <c r="K92" s="239"/>
      <c r="L92" s="238" t="str">
        <f>IF($AK95=0,"Games Won","Matches Won")</f>
        <v>Matches Won</v>
      </c>
      <c r="M92" s="239"/>
      <c r="N92" s="239"/>
      <c r="O92" s="239"/>
      <c r="P92" s="239"/>
      <c r="Q92" s="240"/>
      <c r="R92" s="238" t="str">
        <f>IF($AK95=0,"Games Lost","Matches Lost")</f>
        <v>Matches Lost</v>
      </c>
      <c r="S92" s="241"/>
      <c r="T92" s="241"/>
      <c r="U92" s="241"/>
      <c r="V92" s="242"/>
      <c r="W92" s="243" t="s">
        <v>32</v>
      </c>
      <c r="X92" s="244"/>
      <c r="Y92" s="245"/>
      <c r="Z92" s="243" t="s">
        <v>33</v>
      </c>
      <c r="AA92" s="244"/>
      <c r="AB92" s="245"/>
      <c r="AC92" s="246" t="s">
        <v>34</v>
      </c>
      <c r="AD92" s="247"/>
      <c r="AE92" s="248"/>
      <c r="AF92" s="24" t="s">
        <v>35</v>
      </c>
      <c r="AG92" s="25" t="s">
        <v>7</v>
      </c>
      <c r="AH92" s="228" t="s">
        <v>36</v>
      </c>
      <c r="AI92" s="229"/>
      <c r="AJ92" s="26"/>
      <c r="AK92" s="27">
        <v>1</v>
      </c>
      <c r="AL92" s="28" t="s">
        <v>37</v>
      </c>
      <c r="AM92" s="28"/>
      <c r="AN92" s="28"/>
      <c r="AO92" s="28"/>
      <c r="AP92" s="28"/>
      <c r="AQ92" s="28"/>
      <c r="AR92" s="29"/>
    </row>
    <row r="93" spans="1:49" ht="18.75" customHeight="1" x14ac:dyDescent="0.25">
      <c r="A93" s="194" t="str">
        <f>IF($AK94&gt;0,"1","")</f>
        <v>1</v>
      </c>
      <c r="B93" s="225" t="s">
        <v>8</v>
      </c>
      <c r="C93" s="226"/>
      <c r="D93" s="227"/>
      <c r="E93" s="217" t="str">
        <f>AU4</f>
        <v>BVA 11</v>
      </c>
      <c r="F93" s="218"/>
      <c r="G93" s="218"/>
      <c r="H93" s="218"/>
      <c r="I93" s="218"/>
      <c r="J93" s="218"/>
      <c r="K93" s="219"/>
      <c r="L93" s="201">
        <f>IF($AK95=0,AF149,AF131)</f>
        <v>2</v>
      </c>
      <c r="M93" s="202"/>
      <c r="N93" s="202"/>
      <c r="O93" s="202"/>
      <c r="P93" s="202"/>
      <c r="Q93" s="240"/>
      <c r="R93" s="201">
        <f>IF($AK95=0,AG149,AG131)</f>
        <v>1</v>
      </c>
      <c r="S93" s="202"/>
      <c r="T93" s="202"/>
      <c r="U93" s="202"/>
      <c r="V93" s="202"/>
      <c r="W93" s="201">
        <f>AQ109</f>
        <v>0</v>
      </c>
      <c r="X93" s="202"/>
      <c r="Y93" s="202"/>
      <c r="Z93" s="174">
        <f>IF(AF143&gt;0,(AQ109/AF143),0)</f>
        <v>0</v>
      </c>
      <c r="AA93" s="175"/>
      <c r="AB93" s="175"/>
      <c r="AC93" s="178">
        <f>IF(AF157=0,0,(AF149/AF157))</f>
        <v>0.66666666666666663</v>
      </c>
      <c r="AD93" s="179"/>
      <c r="AE93" s="180"/>
      <c r="AF93" s="184">
        <v>1</v>
      </c>
      <c r="AG93" s="184">
        <v>1</v>
      </c>
      <c r="AH93" s="186"/>
      <c r="AI93" s="187"/>
      <c r="AJ93" s="26"/>
      <c r="AK93" s="27">
        <v>6</v>
      </c>
      <c r="AL93" s="28" t="s">
        <v>38</v>
      </c>
      <c r="AM93" s="28"/>
      <c r="AN93" s="28"/>
      <c r="AO93" s="28"/>
      <c r="AP93" s="28"/>
      <c r="AQ93" s="28"/>
      <c r="AR93" s="29"/>
    </row>
    <row r="94" spans="1:49" ht="18.75" customHeight="1" thickBot="1" x14ac:dyDescent="0.3">
      <c r="A94" s="195"/>
      <c r="B94" s="222" t="s">
        <v>9</v>
      </c>
      <c r="C94" s="223"/>
      <c r="D94" s="224"/>
      <c r="E94" s="215" t="str">
        <f>AV4</f>
        <v>FJ1BILTM1CR</v>
      </c>
      <c r="F94" s="216"/>
      <c r="G94" s="216"/>
      <c r="H94" s="216"/>
      <c r="I94" s="216"/>
      <c r="J94" s="216"/>
      <c r="K94" s="216"/>
      <c r="L94" s="220"/>
      <c r="M94" s="221"/>
      <c r="N94" s="221"/>
      <c r="O94" s="221"/>
      <c r="P94" s="221"/>
      <c r="Q94" s="240"/>
      <c r="R94" s="220"/>
      <c r="S94" s="221"/>
      <c r="T94" s="221"/>
      <c r="U94" s="221"/>
      <c r="V94" s="221"/>
      <c r="W94" s="220"/>
      <c r="X94" s="221"/>
      <c r="Y94" s="221"/>
      <c r="Z94" s="205"/>
      <c r="AA94" s="206"/>
      <c r="AB94" s="206"/>
      <c r="AC94" s="207"/>
      <c r="AD94" s="208"/>
      <c r="AE94" s="209"/>
      <c r="AF94" s="210"/>
      <c r="AG94" s="210"/>
      <c r="AH94" s="211"/>
      <c r="AI94" s="212"/>
      <c r="AJ94" s="26"/>
      <c r="AK94" s="27">
        <v>4</v>
      </c>
      <c r="AL94" s="28" t="s">
        <v>39</v>
      </c>
      <c r="AM94" s="26"/>
      <c r="AN94" s="26"/>
      <c r="AO94" s="26"/>
      <c r="AP94" s="26"/>
      <c r="AQ94" s="26"/>
      <c r="AR94" s="3"/>
    </row>
    <row r="95" spans="1:49" ht="18.75" customHeight="1" x14ac:dyDescent="0.25">
      <c r="A95" s="194" t="str">
        <f>IF($AK94&gt;1,"2","")</f>
        <v>2</v>
      </c>
      <c r="B95" s="225" t="s">
        <v>8</v>
      </c>
      <c r="C95" s="226"/>
      <c r="D95" s="227"/>
      <c r="E95" s="217" t="str">
        <f>AU5</f>
        <v>SC Midlands KP Garnet</v>
      </c>
      <c r="F95" s="218"/>
      <c r="G95" s="218"/>
      <c r="H95" s="218"/>
      <c r="I95" s="218"/>
      <c r="J95" s="218"/>
      <c r="K95" s="219"/>
      <c r="L95" s="201">
        <f>IF($AK95=0,AF150,AF132)</f>
        <v>2</v>
      </c>
      <c r="M95" s="202"/>
      <c r="N95" s="202"/>
      <c r="O95" s="202"/>
      <c r="P95" s="202"/>
      <c r="Q95" s="240"/>
      <c r="R95" s="201">
        <f>IF($AK95=0,AG150,AG132)</f>
        <v>1</v>
      </c>
      <c r="S95" s="202"/>
      <c r="T95" s="202"/>
      <c r="U95" s="202"/>
      <c r="V95" s="202"/>
      <c r="W95" s="201">
        <f>AQ110</f>
        <v>12</v>
      </c>
      <c r="X95" s="202"/>
      <c r="Y95" s="202"/>
      <c r="Z95" s="174">
        <f>IF(AF144&gt;0,(AQ110/AF144),0)</f>
        <v>0.13636363636363635</v>
      </c>
      <c r="AA95" s="175"/>
      <c r="AB95" s="175"/>
      <c r="AC95" s="178">
        <f>IF(AF158=0,0,(AF150/AF158))</f>
        <v>0.66666666666666663</v>
      </c>
      <c r="AD95" s="179"/>
      <c r="AE95" s="180"/>
      <c r="AF95" s="184">
        <v>3</v>
      </c>
      <c r="AG95" s="184">
        <v>1</v>
      </c>
      <c r="AH95" s="186"/>
      <c r="AI95" s="187"/>
      <c r="AJ95" s="26"/>
      <c r="AK95" s="27">
        <v>1</v>
      </c>
      <c r="AL95" s="28" t="s">
        <v>42</v>
      </c>
      <c r="AM95" s="28"/>
      <c r="AN95" s="28"/>
      <c r="AO95" s="28"/>
      <c r="AP95" s="28"/>
      <c r="AQ95" s="28"/>
      <c r="AR95" s="29"/>
    </row>
    <row r="96" spans="1:49" ht="18.75" customHeight="1" thickBot="1" x14ac:dyDescent="0.3">
      <c r="A96" s="195"/>
      <c r="B96" s="213" t="s">
        <v>9</v>
      </c>
      <c r="C96" s="214"/>
      <c r="D96" s="214"/>
      <c r="E96" s="215" t="str">
        <f>AV5</f>
        <v>FJ2SCMID3PM</v>
      </c>
      <c r="F96" s="216"/>
      <c r="G96" s="216"/>
      <c r="H96" s="216"/>
      <c r="I96" s="216"/>
      <c r="J96" s="216"/>
      <c r="K96" s="216"/>
      <c r="L96" s="220"/>
      <c r="M96" s="221"/>
      <c r="N96" s="221"/>
      <c r="O96" s="221"/>
      <c r="P96" s="221"/>
      <c r="Q96" s="240"/>
      <c r="R96" s="220"/>
      <c r="S96" s="221"/>
      <c r="T96" s="221"/>
      <c r="U96" s="221"/>
      <c r="V96" s="221"/>
      <c r="W96" s="220"/>
      <c r="X96" s="221"/>
      <c r="Y96" s="221"/>
      <c r="Z96" s="205"/>
      <c r="AA96" s="206"/>
      <c r="AB96" s="206"/>
      <c r="AC96" s="207"/>
      <c r="AD96" s="208"/>
      <c r="AE96" s="209"/>
      <c r="AF96" s="210"/>
      <c r="AG96" s="210"/>
      <c r="AH96" s="211"/>
      <c r="AI96" s="212"/>
      <c r="AJ96" s="26"/>
      <c r="AK96" s="27">
        <v>1</v>
      </c>
      <c r="AL96" s="28" t="s">
        <v>44</v>
      </c>
      <c r="AM96" s="26"/>
      <c r="AN96" s="26"/>
      <c r="AO96" s="26"/>
      <c r="AP96" s="26"/>
      <c r="AQ96" s="26"/>
      <c r="AR96" s="3"/>
    </row>
    <row r="97" spans="1:44" ht="18.75" customHeight="1" x14ac:dyDescent="0.25">
      <c r="A97" s="194" t="str">
        <f>IF($AK94&gt;2,"3","")</f>
        <v>3</v>
      </c>
      <c r="B97" s="196" t="s">
        <v>8</v>
      </c>
      <c r="C97" s="197"/>
      <c r="D97" s="197"/>
      <c r="E97" s="217" t="str">
        <f>AU8</f>
        <v>Foothills 12 Cait</v>
      </c>
      <c r="F97" s="218"/>
      <c r="G97" s="218"/>
      <c r="H97" s="218"/>
      <c r="I97" s="218"/>
      <c r="J97" s="218"/>
      <c r="K97" s="219"/>
      <c r="L97" s="201">
        <f>IF($AK95=0,AF151,AF133)</f>
        <v>2</v>
      </c>
      <c r="M97" s="202"/>
      <c r="N97" s="202"/>
      <c r="O97" s="202"/>
      <c r="P97" s="202"/>
      <c r="Q97" s="240"/>
      <c r="R97" s="201">
        <f>IF($AK95=0,AG151,AG133)</f>
        <v>1</v>
      </c>
      <c r="S97" s="202"/>
      <c r="T97" s="202"/>
      <c r="U97" s="202"/>
      <c r="V97" s="202"/>
      <c r="W97" s="201">
        <f>AQ111</f>
        <v>12</v>
      </c>
      <c r="X97" s="202"/>
      <c r="Y97" s="202"/>
      <c r="Z97" s="174">
        <f>IF(AF145&gt;0,(AQ111/AF145),0)</f>
        <v>0.14457831325301204</v>
      </c>
      <c r="AA97" s="175"/>
      <c r="AB97" s="175"/>
      <c r="AC97" s="178">
        <f>IF(AF159=0,0,(AF151/AF159))</f>
        <v>0.66666666666666663</v>
      </c>
      <c r="AD97" s="179"/>
      <c r="AE97" s="180"/>
      <c r="AF97" s="184">
        <v>2</v>
      </c>
      <c r="AG97" s="184">
        <v>1</v>
      </c>
      <c r="AH97" s="186"/>
      <c r="AI97" s="187"/>
      <c r="AJ97" s="30"/>
      <c r="AK97" s="27">
        <v>4</v>
      </c>
      <c r="AL97" s="31" t="s">
        <v>45</v>
      </c>
      <c r="AM97" s="28"/>
      <c r="AN97" s="28"/>
      <c r="AO97" s="28"/>
      <c r="AP97" s="28"/>
      <c r="AQ97" s="28"/>
      <c r="AR97" s="29"/>
    </row>
    <row r="98" spans="1:44" ht="18.75" customHeight="1" thickBot="1" x14ac:dyDescent="0.3">
      <c r="A98" s="195"/>
      <c r="B98" s="213" t="s">
        <v>9</v>
      </c>
      <c r="C98" s="214"/>
      <c r="D98" s="214"/>
      <c r="E98" s="215" t="str">
        <f>AV8</f>
        <v>FJ2FootH4PM</v>
      </c>
      <c r="F98" s="216"/>
      <c r="G98" s="216"/>
      <c r="H98" s="216"/>
      <c r="I98" s="216"/>
      <c r="J98" s="216"/>
      <c r="K98" s="216"/>
      <c r="L98" s="220"/>
      <c r="M98" s="221"/>
      <c r="N98" s="221"/>
      <c r="O98" s="221"/>
      <c r="P98" s="221"/>
      <c r="Q98" s="240"/>
      <c r="R98" s="220"/>
      <c r="S98" s="221"/>
      <c r="T98" s="221"/>
      <c r="U98" s="221"/>
      <c r="V98" s="221"/>
      <c r="W98" s="220"/>
      <c r="X98" s="221"/>
      <c r="Y98" s="221"/>
      <c r="Z98" s="205"/>
      <c r="AA98" s="206"/>
      <c r="AB98" s="206"/>
      <c r="AC98" s="207"/>
      <c r="AD98" s="208"/>
      <c r="AE98" s="209"/>
      <c r="AF98" s="210"/>
      <c r="AG98" s="210"/>
      <c r="AH98" s="211"/>
      <c r="AI98" s="212"/>
      <c r="AJ98" s="30"/>
      <c r="AK98" s="32"/>
      <c r="AL98" s="33"/>
      <c r="AM98" s="33"/>
      <c r="AN98" s="33"/>
      <c r="AO98" s="33"/>
      <c r="AP98" s="33"/>
      <c r="AQ98" s="26"/>
      <c r="AR98" s="3"/>
    </row>
    <row r="99" spans="1:44" ht="18.75" customHeight="1" x14ac:dyDescent="0.25">
      <c r="A99" s="194" t="str">
        <f>IF($AK94&gt;3,"4","")</f>
        <v>4</v>
      </c>
      <c r="B99" s="196" t="s">
        <v>8</v>
      </c>
      <c r="C99" s="197"/>
      <c r="D99" s="197"/>
      <c r="E99" s="217" t="str">
        <f>AU9</f>
        <v>USA 12's Purple Carey</v>
      </c>
      <c r="F99" s="218"/>
      <c r="G99" s="218"/>
      <c r="H99" s="218"/>
      <c r="I99" s="218"/>
      <c r="J99" s="218"/>
      <c r="K99" s="219"/>
      <c r="L99" s="201">
        <f>IF($AK95=0,AF152,AF134)</f>
        <v>0</v>
      </c>
      <c r="M99" s="202"/>
      <c r="N99" s="202"/>
      <c r="O99" s="202"/>
      <c r="P99" s="202"/>
      <c r="Q99" s="240"/>
      <c r="R99" s="201">
        <f>IF($AK95=0,AG152,AG134)</f>
        <v>3</v>
      </c>
      <c r="S99" s="202"/>
      <c r="T99" s="202"/>
      <c r="U99" s="202"/>
      <c r="V99" s="202"/>
      <c r="W99" s="201">
        <f>AQ112</f>
        <v>-24</v>
      </c>
      <c r="X99" s="202"/>
      <c r="Y99" s="202"/>
      <c r="Z99" s="174">
        <f>IF(AF146&gt;0,(AQ112/AF146),0)</f>
        <v>-0.28235294117647058</v>
      </c>
      <c r="AA99" s="175"/>
      <c r="AB99" s="175"/>
      <c r="AC99" s="178">
        <f>IF(AF160=0,0,(AF152/AF160))</f>
        <v>0</v>
      </c>
      <c r="AD99" s="179"/>
      <c r="AE99" s="180"/>
      <c r="AF99" s="184"/>
      <c r="AG99" s="184"/>
      <c r="AH99" s="186"/>
      <c r="AI99" s="187"/>
      <c r="AJ99" s="6"/>
      <c r="AK99" s="33"/>
      <c r="AL99" s="33"/>
      <c r="AM99" s="33"/>
      <c r="AN99" s="33"/>
      <c r="AO99" s="33"/>
      <c r="AP99" s="33"/>
      <c r="AQ99" s="28"/>
      <c r="AR99" s="29"/>
    </row>
    <row r="100" spans="1:44" ht="18.75" customHeight="1" thickBot="1" x14ac:dyDescent="0.3">
      <c r="A100" s="195"/>
      <c r="B100" s="213" t="s">
        <v>9</v>
      </c>
      <c r="C100" s="214"/>
      <c r="D100" s="214"/>
      <c r="E100" s="215" t="str">
        <f>AV9</f>
        <v>FJ1UNSEL2CR</v>
      </c>
      <c r="F100" s="216"/>
      <c r="G100" s="216"/>
      <c r="H100" s="216"/>
      <c r="I100" s="216"/>
      <c r="J100" s="216"/>
      <c r="K100" s="216"/>
      <c r="L100" s="220"/>
      <c r="M100" s="221"/>
      <c r="N100" s="221"/>
      <c r="O100" s="221"/>
      <c r="P100" s="221"/>
      <c r="Q100" s="240"/>
      <c r="R100" s="220"/>
      <c r="S100" s="221"/>
      <c r="T100" s="221"/>
      <c r="U100" s="221"/>
      <c r="V100" s="221"/>
      <c r="W100" s="220"/>
      <c r="X100" s="221"/>
      <c r="Y100" s="221"/>
      <c r="Z100" s="205"/>
      <c r="AA100" s="206"/>
      <c r="AB100" s="206"/>
      <c r="AC100" s="207"/>
      <c r="AD100" s="208"/>
      <c r="AE100" s="209"/>
      <c r="AF100" s="210"/>
      <c r="AG100" s="210"/>
      <c r="AH100" s="211"/>
      <c r="AI100" s="212"/>
      <c r="AJ100" s="6"/>
      <c r="AK100" s="33"/>
      <c r="AL100" s="33"/>
      <c r="AM100" s="33"/>
      <c r="AN100" s="33"/>
      <c r="AO100" s="33"/>
      <c r="AP100" s="33"/>
      <c r="AQ100" s="6"/>
      <c r="AR100" s="3"/>
    </row>
    <row r="101" spans="1:44" ht="18.75" customHeight="1" x14ac:dyDescent="0.25">
      <c r="A101" s="194" t="str">
        <f>IF($AK94&gt;4,"5","")</f>
        <v/>
      </c>
      <c r="B101" s="196" t="s">
        <v>8</v>
      </c>
      <c r="C101" s="197"/>
      <c r="D101" s="197"/>
      <c r="E101" s="198">
        <f>AU20</f>
        <v>0</v>
      </c>
      <c r="F101" s="199"/>
      <c r="G101" s="199"/>
      <c r="H101" s="199"/>
      <c r="I101" s="199"/>
      <c r="J101" s="199"/>
      <c r="K101" s="200"/>
      <c r="L101" s="201">
        <f>IF($AK95=0,AF153,AF135)</f>
        <v>0</v>
      </c>
      <c r="M101" s="202"/>
      <c r="N101" s="202"/>
      <c r="O101" s="202"/>
      <c r="P101" s="202"/>
      <c r="Q101" s="240"/>
      <c r="R101" s="201">
        <f>IF($AK95=0,AG153,AG135)</f>
        <v>0</v>
      </c>
      <c r="S101" s="202"/>
      <c r="T101" s="202"/>
      <c r="U101" s="202"/>
      <c r="V101" s="202"/>
      <c r="W101" s="201">
        <f>AQ113</f>
        <v>0</v>
      </c>
      <c r="X101" s="202"/>
      <c r="Y101" s="202"/>
      <c r="Z101" s="174">
        <f>IF(AF147&gt;0,(AQ113/AF147),0)</f>
        <v>0</v>
      </c>
      <c r="AA101" s="175"/>
      <c r="AB101" s="175"/>
      <c r="AC101" s="178">
        <f>IF(AF161=0,0,(AF153/AF161))</f>
        <v>0</v>
      </c>
      <c r="AD101" s="179"/>
      <c r="AE101" s="180"/>
      <c r="AF101" s="184"/>
      <c r="AG101" s="184"/>
      <c r="AH101" s="186"/>
      <c r="AI101" s="187"/>
      <c r="AJ101" s="6"/>
      <c r="AK101" s="33"/>
      <c r="AL101" s="33"/>
      <c r="AM101" s="33"/>
      <c r="AN101" s="33"/>
      <c r="AO101" s="33"/>
      <c r="AP101" s="33"/>
      <c r="AQ101" s="6"/>
      <c r="AR101" s="3"/>
    </row>
    <row r="102" spans="1:44" ht="18.75" customHeight="1" thickBot="1" x14ac:dyDescent="0.3">
      <c r="A102" s="195"/>
      <c r="B102" s="190" t="s">
        <v>9</v>
      </c>
      <c r="C102" s="191"/>
      <c r="D102" s="191"/>
      <c r="E102" s="192">
        <f>AV20</f>
        <v>0</v>
      </c>
      <c r="F102" s="193"/>
      <c r="G102" s="193"/>
      <c r="H102" s="193"/>
      <c r="I102" s="193"/>
      <c r="J102" s="193"/>
      <c r="K102" s="193"/>
      <c r="L102" s="203"/>
      <c r="M102" s="204"/>
      <c r="N102" s="204"/>
      <c r="O102" s="204"/>
      <c r="P102" s="204"/>
      <c r="Q102" s="240"/>
      <c r="R102" s="203"/>
      <c r="S102" s="204"/>
      <c r="T102" s="204"/>
      <c r="U102" s="204"/>
      <c r="V102" s="204"/>
      <c r="W102" s="203"/>
      <c r="X102" s="204"/>
      <c r="Y102" s="204"/>
      <c r="Z102" s="176"/>
      <c r="AA102" s="177"/>
      <c r="AB102" s="177"/>
      <c r="AC102" s="181"/>
      <c r="AD102" s="182"/>
      <c r="AE102" s="183"/>
      <c r="AF102" s="185"/>
      <c r="AG102" s="185"/>
      <c r="AH102" s="188"/>
      <c r="AI102" s="189"/>
      <c r="AJ102" s="6"/>
      <c r="AK102" s="33"/>
      <c r="AL102" s="33"/>
      <c r="AM102" s="33"/>
      <c r="AN102" s="33"/>
      <c r="AO102" s="33"/>
      <c r="AP102" s="33"/>
      <c r="AQ102" s="6"/>
      <c r="AR102" s="3"/>
    </row>
    <row r="103" spans="1:44" ht="21" customHeight="1" thickTop="1" thickBot="1" x14ac:dyDescent="0.3">
      <c r="A103" s="34"/>
      <c r="B103" s="171" t="s">
        <v>100</v>
      </c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3"/>
      <c r="AJ103" s="6"/>
      <c r="AK103" s="33"/>
      <c r="AL103" s="33"/>
      <c r="AM103" s="33"/>
      <c r="AN103" s="33"/>
      <c r="AO103" s="33"/>
      <c r="AP103" s="33"/>
      <c r="AQ103" s="6"/>
      <c r="AR103" s="3"/>
    </row>
    <row r="104" spans="1:44" ht="13.8" thickTop="1" x14ac:dyDescent="0.25">
      <c r="A104" s="4" t="s">
        <v>47</v>
      </c>
      <c r="B104" s="160">
        <v>6.25E-2</v>
      </c>
      <c r="C104" s="161"/>
      <c r="D104" s="162"/>
      <c r="E104" s="160">
        <v>8.3333333333333329E-2</v>
      </c>
      <c r="F104" s="161"/>
      <c r="G104" s="162"/>
      <c r="H104" s="160">
        <v>0.10416666666666667</v>
      </c>
      <c r="I104" s="161"/>
      <c r="J104" s="162"/>
      <c r="K104" s="160"/>
      <c r="L104" s="161"/>
      <c r="M104" s="162"/>
      <c r="N104" s="160"/>
      <c r="O104" s="161"/>
      <c r="P104" s="162"/>
      <c r="Q104" s="160"/>
      <c r="R104" s="161"/>
      <c r="S104" s="162"/>
      <c r="T104" s="160"/>
      <c r="U104" s="161"/>
      <c r="V104" s="162"/>
      <c r="W104" s="160"/>
      <c r="X104" s="161"/>
      <c r="Y104" s="162"/>
      <c r="Z104" s="160"/>
      <c r="AA104" s="161"/>
      <c r="AB104" s="162"/>
      <c r="AC104" s="160"/>
      <c r="AD104" s="161"/>
      <c r="AE104" s="162"/>
      <c r="AF104" s="163" t="s">
        <v>48</v>
      </c>
      <c r="AG104" s="164"/>
      <c r="AH104" s="164"/>
      <c r="AI104" s="164"/>
      <c r="AJ104" s="165"/>
      <c r="AK104" s="165"/>
      <c r="AL104" s="165"/>
      <c r="AM104" s="165"/>
      <c r="AN104" s="165"/>
      <c r="AO104" s="165"/>
      <c r="AP104" s="165"/>
      <c r="AQ104" s="166"/>
    </row>
    <row r="105" spans="1:44" x14ac:dyDescent="0.25">
      <c r="A105" s="35" t="s">
        <v>49</v>
      </c>
      <c r="B105" s="157"/>
      <c r="C105" s="158"/>
      <c r="D105" s="159"/>
      <c r="E105" s="157"/>
      <c r="F105" s="158"/>
      <c r="G105" s="159"/>
      <c r="H105" s="157"/>
      <c r="I105" s="158"/>
      <c r="J105" s="159"/>
      <c r="K105" s="157"/>
      <c r="L105" s="158"/>
      <c r="M105" s="159"/>
      <c r="N105" s="157"/>
      <c r="O105" s="158"/>
      <c r="P105" s="159"/>
      <c r="Q105" s="157"/>
      <c r="R105" s="158"/>
      <c r="S105" s="159"/>
      <c r="T105" s="157"/>
      <c r="U105" s="158"/>
      <c r="V105" s="159"/>
      <c r="W105" s="157"/>
      <c r="X105" s="158"/>
      <c r="Y105" s="159"/>
      <c r="Z105" s="157"/>
      <c r="AA105" s="158"/>
      <c r="AB105" s="159"/>
      <c r="AC105" s="157"/>
      <c r="AD105" s="158"/>
      <c r="AE105" s="159"/>
      <c r="AF105" s="163"/>
      <c r="AG105" s="164"/>
      <c r="AH105" s="164"/>
      <c r="AI105" s="164"/>
      <c r="AJ105" s="164"/>
      <c r="AK105" s="164"/>
      <c r="AL105" s="164"/>
      <c r="AM105" s="164"/>
      <c r="AN105" s="164"/>
      <c r="AO105" s="164"/>
      <c r="AP105" s="164"/>
      <c r="AQ105" s="167"/>
    </row>
    <row r="106" spans="1:44" x14ac:dyDescent="0.25">
      <c r="A106" s="35" t="s">
        <v>50</v>
      </c>
      <c r="B106" s="157"/>
      <c r="C106" s="158"/>
      <c r="D106" s="159"/>
      <c r="E106" s="157"/>
      <c r="F106" s="158"/>
      <c r="G106" s="159"/>
      <c r="H106" s="157"/>
      <c r="I106" s="158"/>
      <c r="J106" s="159"/>
      <c r="K106" s="157"/>
      <c r="L106" s="158"/>
      <c r="M106" s="159"/>
      <c r="N106" s="157"/>
      <c r="O106" s="158"/>
      <c r="P106" s="159"/>
      <c r="Q106" s="157"/>
      <c r="R106" s="158"/>
      <c r="S106" s="159"/>
      <c r="T106" s="157"/>
      <c r="U106" s="158"/>
      <c r="V106" s="159"/>
      <c r="W106" s="157"/>
      <c r="X106" s="158"/>
      <c r="Y106" s="159"/>
      <c r="Z106" s="157"/>
      <c r="AA106" s="158"/>
      <c r="AB106" s="159"/>
      <c r="AC106" s="157"/>
      <c r="AD106" s="158"/>
      <c r="AE106" s="159"/>
      <c r="AF106" s="163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7"/>
    </row>
    <row r="107" spans="1:44" ht="13.8" thickBot="1" x14ac:dyDescent="0.3">
      <c r="A107" s="6"/>
      <c r="B107" s="154" t="s">
        <v>51</v>
      </c>
      <c r="C107" s="155"/>
      <c r="D107" s="156"/>
      <c r="E107" s="154" t="str">
        <f>IF(AK93&gt;1,"Match 2","")</f>
        <v>Match 2</v>
      </c>
      <c r="F107" s="155"/>
      <c r="G107" s="156"/>
      <c r="H107" s="154" t="str">
        <f>IF(AK93&gt;2,"Match 3","")</f>
        <v>Match 3</v>
      </c>
      <c r="I107" s="155"/>
      <c r="J107" s="156"/>
      <c r="K107" s="154" t="str">
        <f>IF(AK93&gt;3,"Match 4","")</f>
        <v>Match 4</v>
      </c>
      <c r="L107" s="155"/>
      <c r="M107" s="156"/>
      <c r="N107" s="154" t="str">
        <f>IF(AK93&gt;4,"Match 5","")</f>
        <v>Match 5</v>
      </c>
      <c r="O107" s="155"/>
      <c r="P107" s="156"/>
      <c r="Q107" s="154" t="str">
        <f>IF(AK93&gt;5,"Match 6","")</f>
        <v>Match 6</v>
      </c>
      <c r="R107" s="155"/>
      <c r="S107" s="156"/>
      <c r="T107" s="154" t="str">
        <f>IF(AK93&gt;6,"Match 7","")</f>
        <v/>
      </c>
      <c r="U107" s="155"/>
      <c r="V107" s="156"/>
      <c r="W107" s="154" t="str">
        <f>IF(AK93&gt;7,"Match 8","")</f>
        <v/>
      </c>
      <c r="X107" s="155"/>
      <c r="Y107" s="156"/>
      <c r="Z107" s="154" t="str">
        <f>IF(AK93&gt;8,"Match 9","")</f>
        <v/>
      </c>
      <c r="AA107" s="155"/>
      <c r="AB107" s="156"/>
      <c r="AC107" s="154" t="str">
        <f>IF(AK93&gt;9,"Match 10","")</f>
        <v/>
      </c>
      <c r="AD107" s="155"/>
      <c r="AE107" s="156"/>
      <c r="AF107" s="168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70"/>
    </row>
    <row r="108" spans="1:44" ht="15.6" x14ac:dyDescent="0.3">
      <c r="A108" s="6"/>
      <c r="B108" s="147" t="s">
        <v>53</v>
      </c>
      <c r="C108" s="148"/>
      <c r="D108" s="149"/>
      <c r="E108" s="147" t="s">
        <v>52</v>
      </c>
      <c r="F108" s="148"/>
      <c r="G108" s="149"/>
      <c r="H108" s="147" t="s">
        <v>54</v>
      </c>
      <c r="I108" s="148"/>
      <c r="J108" s="149"/>
      <c r="K108" s="147" t="s">
        <v>55</v>
      </c>
      <c r="L108" s="148"/>
      <c r="M108" s="149"/>
      <c r="N108" s="147" t="s">
        <v>52</v>
      </c>
      <c r="O108" s="148"/>
      <c r="P108" s="149"/>
      <c r="Q108" s="147" t="s">
        <v>54</v>
      </c>
      <c r="R108" s="148"/>
      <c r="S108" s="149"/>
      <c r="T108" s="147"/>
      <c r="U108" s="148"/>
      <c r="V108" s="149"/>
      <c r="W108" s="147"/>
      <c r="X108" s="148"/>
      <c r="Y108" s="149"/>
      <c r="Z108" s="147"/>
      <c r="AA108" s="148"/>
      <c r="AB108" s="149"/>
      <c r="AC108" s="147"/>
      <c r="AD108" s="148"/>
      <c r="AE108" s="149"/>
      <c r="AF108" s="36" t="s">
        <v>56</v>
      </c>
      <c r="AG108" s="37">
        <v>1</v>
      </c>
      <c r="AH108" s="37">
        <v>2</v>
      </c>
      <c r="AI108" s="37">
        <v>3</v>
      </c>
      <c r="AJ108" s="37">
        <v>4</v>
      </c>
      <c r="AK108" s="37">
        <v>5</v>
      </c>
      <c r="AL108" s="37">
        <v>6</v>
      </c>
      <c r="AM108" s="37">
        <v>7</v>
      </c>
      <c r="AN108" s="37">
        <v>8</v>
      </c>
      <c r="AO108" s="37">
        <v>9</v>
      </c>
      <c r="AP108" s="37">
        <v>10</v>
      </c>
      <c r="AQ108" s="38" t="s">
        <v>57</v>
      </c>
    </row>
    <row r="109" spans="1:44" ht="15.6" x14ac:dyDescent="0.3">
      <c r="A109" s="6"/>
      <c r="B109" s="39">
        <v>2</v>
      </c>
      <c r="C109" s="40" t="s">
        <v>58</v>
      </c>
      <c r="D109" s="41">
        <v>3</v>
      </c>
      <c r="E109" s="39">
        <v>1</v>
      </c>
      <c r="F109" s="40" t="str">
        <f>IF(AK93&gt;1,"v","")</f>
        <v>v</v>
      </c>
      <c r="G109" s="41">
        <v>4</v>
      </c>
      <c r="H109" s="39">
        <v>2</v>
      </c>
      <c r="I109" s="40" t="str">
        <f>IF(AK93&gt;2,"v","")</f>
        <v>v</v>
      </c>
      <c r="J109" s="41">
        <v>4</v>
      </c>
      <c r="K109" s="39">
        <v>1</v>
      </c>
      <c r="L109" s="40" t="str">
        <f>IF(AK93&gt;3,"v","")</f>
        <v>v</v>
      </c>
      <c r="M109" s="41">
        <v>3</v>
      </c>
      <c r="N109" s="39">
        <v>3</v>
      </c>
      <c r="O109" s="40" t="str">
        <f>IF(AK93&gt;4,"v","")</f>
        <v>v</v>
      </c>
      <c r="P109" s="41">
        <v>4</v>
      </c>
      <c r="Q109" s="39">
        <v>1</v>
      </c>
      <c r="R109" s="40" t="str">
        <f>IF(AK93&gt;5,"v","")</f>
        <v>v</v>
      </c>
      <c r="S109" s="41">
        <v>2</v>
      </c>
      <c r="T109" s="39"/>
      <c r="U109" s="40" t="str">
        <f>IF(AK93&gt;6,"v","")</f>
        <v/>
      </c>
      <c r="V109" s="41"/>
      <c r="W109" s="39"/>
      <c r="X109" s="40" t="str">
        <f>IF(AK93&gt;7,"v","")</f>
        <v/>
      </c>
      <c r="Y109" s="41"/>
      <c r="Z109" s="39"/>
      <c r="AA109" s="40" t="str">
        <f>IF(AK93&gt;8,"v","")</f>
        <v/>
      </c>
      <c r="AB109" s="41"/>
      <c r="AC109" s="39"/>
      <c r="AD109" s="40" t="str">
        <f>IF(AK93&gt;9,"v","")</f>
        <v/>
      </c>
      <c r="AE109" s="41"/>
      <c r="AF109" s="36" t="str">
        <f>IF(AK94&gt;0,"Team 1","")</f>
        <v>Team 1</v>
      </c>
      <c r="AG109" s="42" t="str">
        <f>IF(AK94&lt;1,"",IF(AK93&lt;1,"",IF(B109=1,B115-D115,IF(D109=1,D115-B115,""))))</f>
        <v/>
      </c>
      <c r="AH109" s="42">
        <f>IF(AK94&lt;1,"",IF(AK93&lt;2,"",IF(E109=1,E115-G115,IF(G109=1,G115-E115,""))))</f>
        <v>6</v>
      </c>
      <c r="AI109" s="42" t="str">
        <f>IF(AK94&lt;1,"",IF(AK93&lt;3,"",IF(H109=1,H115-J115,IF(J109=1,J115-H115,""))))</f>
        <v/>
      </c>
      <c r="AJ109" s="42">
        <f>IF(AK94&lt;1,"",IF(AK93&lt;4,"",IF(K109=1,K115-M115,IF(M109=1,M115-K115,""))))</f>
        <v>1</v>
      </c>
      <c r="AK109" s="42" t="str">
        <f>IF(AK94&lt;1,"",IF(AK93&lt;5,"",IF(N109=1,N115-P115,IF(P109=1,P115-N115,""))))</f>
        <v/>
      </c>
      <c r="AL109" s="42">
        <f>IF(AK94&lt;1,"",IF(AK93&lt;6,"",IF(Q109=1,Q115-S115,IF(S109=1,S115-Q115,""))))</f>
        <v>-7</v>
      </c>
      <c r="AM109" s="42" t="str">
        <f>IF(AK94&lt;1,"",IF(AK93&lt;7,"",IF(T109=1,T115-V115,IF(V109=1,V115-T115,""))))</f>
        <v/>
      </c>
      <c r="AN109" s="42" t="str">
        <f>IF(AK94&lt;1,"",IF(AK93&lt;8,"",IF(W109=1,W115-Y115,IF(Y109=1,Y115-W115,""))))</f>
        <v/>
      </c>
      <c r="AO109" s="42" t="str">
        <f>IF(AK94&lt;1,"",IF(AK93&lt;9,"",IF(Z109=1,Z115-AB115,IF(AB109=1,AB115-Z115,""))))</f>
        <v/>
      </c>
      <c r="AP109" s="42" t="str">
        <f>IF(AK94&lt;1,"",IF(AK93&lt;10,"",IF(AC109=1,AC115-AE115,IF(AE109=1,AE115-AC115,""))))</f>
        <v/>
      </c>
      <c r="AQ109" s="38">
        <f>SUM(AG109:AP109)</f>
        <v>0</v>
      </c>
    </row>
    <row r="110" spans="1:44" ht="15" x14ac:dyDescent="0.25">
      <c r="A110" s="4" t="s">
        <v>59</v>
      </c>
      <c r="B110" s="43">
        <v>22</v>
      </c>
      <c r="C110" s="44" t="s">
        <v>60</v>
      </c>
      <c r="D110" s="45">
        <v>28</v>
      </c>
      <c r="E110" s="43">
        <v>27</v>
      </c>
      <c r="F110" s="44" t="str">
        <f>IF(AK93&gt;1,"/","")</f>
        <v>/</v>
      </c>
      <c r="G110" s="45">
        <v>21</v>
      </c>
      <c r="H110" s="43">
        <v>30</v>
      </c>
      <c r="I110" s="44" t="str">
        <f>IF(AK93&gt;2,"/","")</f>
        <v>/</v>
      </c>
      <c r="J110" s="45">
        <v>19</v>
      </c>
      <c r="K110" s="43">
        <v>27</v>
      </c>
      <c r="L110" s="44" t="str">
        <f>IF(AK93&gt;3,"/","")</f>
        <v>/</v>
      </c>
      <c r="M110" s="45">
        <v>26</v>
      </c>
      <c r="N110" s="43">
        <v>28</v>
      </c>
      <c r="O110" s="44" t="str">
        <f>IF(AK93&gt;4,"/","")</f>
        <v>/</v>
      </c>
      <c r="P110" s="45">
        <v>21</v>
      </c>
      <c r="Q110" s="43">
        <v>23</v>
      </c>
      <c r="R110" s="44" t="str">
        <f>IF(AK93&gt;5,"/","")</f>
        <v>/</v>
      </c>
      <c r="S110" s="45">
        <v>30</v>
      </c>
      <c r="T110" s="43"/>
      <c r="U110" s="44" t="str">
        <f>IF(AK93&gt;6,"/","")</f>
        <v/>
      </c>
      <c r="V110" s="45"/>
      <c r="W110" s="43"/>
      <c r="X110" s="44" t="str">
        <f>IF(AK93&gt;7,"/","")</f>
        <v/>
      </c>
      <c r="Y110" s="45"/>
      <c r="Z110" s="43"/>
      <c r="AA110" s="44" t="str">
        <f>IF(AK93&gt;8,"/","")</f>
        <v/>
      </c>
      <c r="AB110" s="45"/>
      <c r="AC110" s="43"/>
      <c r="AD110" s="44" t="str">
        <f>IF(AK93&gt;9,"/","")</f>
        <v/>
      </c>
      <c r="AE110" s="45"/>
      <c r="AF110" s="36" t="str">
        <f>IF(AK94&gt;1,"Team 2","")</f>
        <v>Team 2</v>
      </c>
      <c r="AG110" s="42">
        <f>IF(AK94&lt;2,"",IF(AK93&lt;1,"",IF(B109=2,B115-D115,IF(D109=2,D115-B115,""))))</f>
        <v>-6</v>
      </c>
      <c r="AH110" s="42" t="str">
        <f>IF(AK94&lt;2,"",IF(AK93&lt;2,"",IF(E109=2,E115-G115,IF(G109=2,G115-E115,""))))</f>
        <v/>
      </c>
      <c r="AI110" s="42">
        <f>IF(AK94&lt;2,"",IF(AK93&lt;3,"",IF(H109=2,H115-J115,IF(J109=2,J115-H115,""))))</f>
        <v>11</v>
      </c>
      <c r="AJ110" s="42" t="str">
        <f>IF(AK94&lt;2,"",IF(AK93&lt;4,"",IF(K109=2,K115-M115,IF(M109=2,M115-K115,""))))</f>
        <v/>
      </c>
      <c r="AK110" s="42" t="str">
        <f>IF(AK94&lt;2,"",IF(AK93&lt;5,"",IF(N109=2,N115-P115,IF(P109=2,P115-N115,""))))</f>
        <v/>
      </c>
      <c r="AL110" s="42">
        <f>IF(AK94&lt;2,"",IF(AK93&lt;6,"",IF(Q109=2,Q115-S115,IF(S109=2,S115-Q115,""))))</f>
        <v>7</v>
      </c>
      <c r="AM110" s="42" t="str">
        <f>IF(AK94&lt;2,"",IF(AK93&lt;7,"",IF(T109=2,T115-V115,IF(V109=2,V115-T115,""))))</f>
        <v/>
      </c>
      <c r="AN110" s="42" t="str">
        <f>IF(AK94&lt;2,"",IF(AK93&lt;8,"",IF(W109=2,W115-Y115,IF(Y109=2,Y115-W115,""))))</f>
        <v/>
      </c>
      <c r="AO110" s="42" t="str">
        <f>IF(AK94&lt;2,"",IF(AK93&lt;9,"",IF(Z109=2,Z115-AB115,IF(AB109=2,AB115-Z115,""))))</f>
        <v/>
      </c>
      <c r="AP110" s="42" t="str">
        <f>IF(AK94&lt;2,"",IF(AK93&lt;10,"",IF(AC109=2,AC115-AE115,IF(AE109=2,AE115-AC115,""))))</f>
        <v/>
      </c>
      <c r="AQ110" s="38">
        <f>SUM(AG110:AP110)</f>
        <v>12</v>
      </c>
    </row>
    <row r="111" spans="1:44" ht="15" x14ac:dyDescent="0.25">
      <c r="A111" s="3" t="str">
        <f>IF(AK92&gt;1,"Game 2","")</f>
        <v/>
      </c>
      <c r="B111" s="43">
        <v>25</v>
      </c>
      <c r="C111" s="44" t="s">
        <v>60</v>
      </c>
      <c r="D111" s="45">
        <v>15</v>
      </c>
      <c r="E111" s="43">
        <v>18</v>
      </c>
      <c r="F111" s="44" t="str">
        <f>IF(AK93&gt;1,IF(AK92&gt;1,"/",""),"")</f>
        <v/>
      </c>
      <c r="G111" s="45">
        <v>25</v>
      </c>
      <c r="H111" s="43">
        <v>30</v>
      </c>
      <c r="I111" s="44" t="str">
        <f>IF(AK93&gt;2,IF(AK92&gt;1,"/",""),"")</f>
        <v/>
      </c>
      <c r="J111" s="45">
        <v>22</v>
      </c>
      <c r="K111" s="43"/>
      <c r="L111" s="44" t="str">
        <f>IF(AK93&gt;3,IF(AK92&gt;1,"/",""),"")</f>
        <v/>
      </c>
      <c r="M111" s="45"/>
      <c r="N111" s="43"/>
      <c r="O111" s="44" t="str">
        <f>IF(AK93&gt;4,IF(AK92&gt;1,"/",""),"")</f>
        <v/>
      </c>
      <c r="P111" s="45"/>
      <c r="Q111" s="43"/>
      <c r="R111" s="44" t="str">
        <f>IF(AK93&gt;5,IF(AK92&gt;1,"/",""),"")</f>
        <v/>
      </c>
      <c r="S111" s="45"/>
      <c r="T111" s="43"/>
      <c r="U111" s="44" t="str">
        <f>IF(AK93&gt;6,IF(AK92&gt;1,"/",""),"")</f>
        <v/>
      </c>
      <c r="V111" s="45"/>
      <c r="W111" s="43"/>
      <c r="X111" s="44" t="str">
        <f>IF(AK93&gt;7,IF(AK92&gt;1,"/",""),"")</f>
        <v/>
      </c>
      <c r="Y111" s="45"/>
      <c r="Z111" s="43"/>
      <c r="AA111" s="44" t="str">
        <f>IF(AK93&gt;8,IF(AK92&gt;1,"/",""),"")</f>
        <v/>
      </c>
      <c r="AB111" s="45"/>
      <c r="AC111" s="43"/>
      <c r="AD111" s="44" t="str">
        <f>IF(AK93&gt;9,IF(AK92&gt;1,"/",""),"")</f>
        <v/>
      </c>
      <c r="AE111" s="45"/>
      <c r="AF111" s="36" t="str">
        <f>IF(AK94&gt;2,"Team 3","")</f>
        <v>Team 3</v>
      </c>
      <c r="AG111" s="42">
        <f>IF(AK94&lt;3,"",IF(AK93&lt;1,"",IF(B109=3,B115-D115,IF(D109=3,D115-B115,""))))</f>
        <v>6</v>
      </c>
      <c r="AH111" s="42" t="str">
        <f>IF(AK94&lt;3,"",IF(AK93&lt;2,"",IF(E109=3,E115-G115,IF(G109=3,G115-E115,""))))</f>
        <v/>
      </c>
      <c r="AI111" s="42" t="str">
        <f>IF(AK94&lt;3,"",IF(AK93&lt;3,"",IF(H109=3,H115-J115,IF(J109=3,J115-H115,""))))</f>
        <v/>
      </c>
      <c r="AJ111" s="42">
        <f>IF(AK94&lt;3,"",IF(AK93&lt;4,"",IF(K109=3,K115-M115,IF(M109=3,M115-K115,""))))</f>
        <v>-1</v>
      </c>
      <c r="AK111" s="42">
        <f>IF(AK94&lt;3,"",IF(AK93&lt;5,"",IF(N109=3,N115-P115,IF(P109=3,P115-N115,""))))</f>
        <v>7</v>
      </c>
      <c r="AL111" s="42" t="str">
        <f>IF(AK94&lt;3,"",IF(AK93&lt;6,"",IF(Q109=3,Q115-S115,IF(S109=3,S115-Q115,""))))</f>
        <v/>
      </c>
      <c r="AM111" s="42" t="str">
        <f>IF(AK94&lt;3,"",IF(AK93&lt;7,"",IF(T109=3,T115-V115,IF(V109=3,V115-T115,""))))</f>
        <v/>
      </c>
      <c r="AN111" s="42" t="str">
        <f>IF(AK94&lt;3,"",IF(AK93&lt;8,"",IF(W109=3,W115-Y115,IF(Y109=3,Y115-W115,""))))</f>
        <v/>
      </c>
      <c r="AO111" s="42" t="str">
        <f>IF(AK94&lt;3,"",IF(AK93&lt;9,"",IF(Z109=3,Z115-AB115,IF(AB109=3,AB115-Z115,""))))</f>
        <v/>
      </c>
      <c r="AP111" s="42" t="str">
        <f>IF(AK94&lt;3,"",IF(AK93&lt;9,"",IF(AC109=3,AC115-AE115,IF(AE109=3,AE115-AC115,""))))</f>
        <v/>
      </c>
      <c r="AQ111" s="38">
        <f>SUM(AG111:AP111)</f>
        <v>12</v>
      </c>
    </row>
    <row r="112" spans="1:44" ht="15" x14ac:dyDescent="0.25">
      <c r="A112" s="3" t="str">
        <f>IF(AK92&gt;2,"Game 3","")</f>
        <v/>
      </c>
      <c r="B112" s="43"/>
      <c r="C112" s="44" t="s">
        <v>60</v>
      </c>
      <c r="D112" s="45"/>
      <c r="E112" s="43"/>
      <c r="F112" s="44" t="str">
        <f>IF(AK93&gt;1,IF(AK92&gt;2,"/",""),"")</f>
        <v/>
      </c>
      <c r="G112" s="45"/>
      <c r="H112" s="43"/>
      <c r="I112" s="44" t="str">
        <f>IF(AK93&gt;2,IF(AK92&gt;2,"/",""),"")</f>
        <v/>
      </c>
      <c r="J112" s="45"/>
      <c r="K112" s="43"/>
      <c r="L112" s="44" t="str">
        <f>IF(AK93&gt;3,IF(AK92&gt;2,"/",""),"")</f>
        <v/>
      </c>
      <c r="M112" s="45"/>
      <c r="N112" s="43"/>
      <c r="O112" s="44" t="str">
        <f>IF(AK93&gt;4,IF(AK92&gt;2,"/",""),"")</f>
        <v/>
      </c>
      <c r="P112" s="45"/>
      <c r="Q112" s="43"/>
      <c r="R112" s="44" t="str">
        <f>IF(AK93&gt;5,IF(AK92&gt;2,"/",""),"")</f>
        <v/>
      </c>
      <c r="S112" s="45"/>
      <c r="T112" s="43"/>
      <c r="U112" s="44" t="str">
        <f>IF(AK93&gt;6,IF(AK92&gt;2,"/",""),"")</f>
        <v/>
      </c>
      <c r="V112" s="45"/>
      <c r="W112" s="43"/>
      <c r="X112" s="44" t="str">
        <f>IF(AK93&gt;7,IF(AK92&gt;2,"/",""),"")</f>
        <v/>
      </c>
      <c r="Y112" s="45"/>
      <c r="Z112" s="43"/>
      <c r="AA112" s="44" t="str">
        <f>IF(AK93&gt;8,IF(AK92&gt;2,"/",""),"")</f>
        <v/>
      </c>
      <c r="AB112" s="45"/>
      <c r="AC112" s="43"/>
      <c r="AD112" s="44" t="str">
        <f>IF(AK93&gt;9,IF(AK92&gt;2,"/",""),"")</f>
        <v/>
      </c>
      <c r="AE112" s="45"/>
      <c r="AF112" s="36" t="str">
        <f>IF(AK94&gt;3,"Team 4","")</f>
        <v>Team 4</v>
      </c>
      <c r="AG112" s="42" t="str">
        <f>IF(AK94&lt;4,"",IF(AK93&lt;1,"",IF(B109=4,B115-D115,IF(D109=4,D115-B115,""))))</f>
        <v/>
      </c>
      <c r="AH112" s="42">
        <f>IF(AK94&lt;4,"",IF(AK93&lt;2,"",IF(E109=4,E115-G115,IF(G109=4,G115-E115,""))))</f>
        <v>-6</v>
      </c>
      <c r="AI112" s="42">
        <f>IF(AK94&lt;4,"",IF(AK93&lt;3,"",IF(H109=4,H115-J115,IF(J109=4,J115-H115,""))))</f>
        <v>-11</v>
      </c>
      <c r="AJ112" s="42" t="str">
        <f>IF(AK94&lt;4,"",IF(AK93&lt;4,"",IF(K109=4,K115-M115,IF(M109=4,M115-K115,""))))</f>
        <v/>
      </c>
      <c r="AK112" s="42">
        <f>IF(AK94&lt;4,"",IF(AK93&lt;5,"",IF(N109=4,N115-P115,IF(P109=4,P115-N115,""))))</f>
        <v>-7</v>
      </c>
      <c r="AL112" s="42" t="str">
        <f>IF(AK94&lt;4,"",IF(AK93&lt;6,"",IF(Q109=4,Q115-S115,IF(S109=4,S115-Q115,""))))</f>
        <v/>
      </c>
      <c r="AM112" s="42" t="str">
        <f>IF(AK94&lt;4,"",IF(AK93&lt;7,"",IF(T109=4,T115-V115,IF(V109=4,V115-T115,""))))</f>
        <v/>
      </c>
      <c r="AN112" s="42" t="str">
        <f>IF(AK94&lt;4,"",IF(AK93&lt;8,"",IF(W109=4,W115-Y115,IF(Y109=4,Y115-W115,""))))</f>
        <v/>
      </c>
      <c r="AO112" s="42" t="str">
        <f>IF(AK94&lt;4,"",IF(AK93&lt;9,"",IF(Z109=4,Z115-AB115,IF(AB109=4,AB115-Z115,""))))</f>
        <v/>
      </c>
      <c r="AP112" s="42" t="str">
        <f>IF(AK94&lt;4,"",IF(AK93&lt;10,"",IF(AC109=4,AC115-AE115,IF(AE109=4,AE115-AC115,""))))</f>
        <v/>
      </c>
      <c r="AQ112" s="38">
        <f>SUM(AG112:AP112)</f>
        <v>-24</v>
      </c>
    </row>
    <row r="113" spans="1:48" ht="15" x14ac:dyDescent="0.25">
      <c r="A113" s="3" t="str">
        <f>IF(AK92&gt;3,"Game 4","")</f>
        <v/>
      </c>
      <c r="B113" s="43"/>
      <c r="C113" s="44" t="s">
        <v>60</v>
      </c>
      <c r="D113" s="45"/>
      <c r="E113" s="43"/>
      <c r="F113" s="44" t="str">
        <f>IF(AK93&gt;1,IF(AK92&gt;3,"/",""),"")</f>
        <v/>
      </c>
      <c r="G113" s="45"/>
      <c r="H113" s="43"/>
      <c r="I113" s="44" t="str">
        <f>IF(AK93&gt;2,IF(AK92&gt;3,"/",""),"")</f>
        <v/>
      </c>
      <c r="J113" s="45"/>
      <c r="K113" s="43"/>
      <c r="L113" s="44" t="str">
        <f>IF(AK93&gt;3,IF(AK92&gt;3,"/",""),"")</f>
        <v/>
      </c>
      <c r="M113" s="45"/>
      <c r="N113" s="43"/>
      <c r="O113" s="44" t="str">
        <f>IF(AK93&gt;4,IF(AK92&gt;3,"/",""),"")</f>
        <v/>
      </c>
      <c r="P113" s="45"/>
      <c r="Q113" s="43"/>
      <c r="R113" s="44" t="str">
        <f>IF(AK93&gt;5,IF(AK92&gt;3,"/",""),"")</f>
        <v/>
      </c>
      <c r="S113" s="45"/>
      <c r="T113" s="43"/>
      <c r="U113" s="44" t="str">
        <f>IF(AK93&gt;6,IF(AK92&gt;3,"/",""),"")</f>
        <v/>
      </c>
      <c r="V113" s="45"/>
      <c r="W113" s="43"/>
      <c r="X113" s="44" t="str">
        <f>IF(AK93&gt;7,IF(AK92&gt;3,"/",""),"")</f>
        <v/>
      </c>
      <c r="Y113" s="45"/>
      <c r="Z113" s="43"/>
      <c r="AA113" s="44" t="str">
        <f>IF(AK93&gt;8,IF(AK92&gt;3,"/",""),"")</f>
        <v/>
      </c>
      <c r="AB113" s="45"/>
      <c r="AC113" s="43"/>
      <c r="AD113" s="44" t="str">
        <f>IF(AK93&gt;9,IF(AK92&gt;3,"/",""),"")</f>
        <v/>
      </c>
      <c r="AE113" s="45"/>
      <c r="AF113" s="36" t="str">
        <f>IF(AK94&gt;4,"Team 5","")</f>
        <v/>
      </c>
      <c r="AG113" s="46" t="str">
        <f>IF(AK94&lt;5,"",IF(AK93&lt;1,"",IF(B109=5,B115-D115,IF(D109=5,D115-B115,""))))</f>
        <v/>
      </c>
      <c r="AH113" s="42" t="str">
        <f>IF(AK94&lt;5,"",IF(AK93&lt;2,"",IF(E109=5,E115-G115,IF(G109=5,G115-E115,""))))</f>
        <v/>
      </c>
      <c r="AI113" s="42" t="str">
        <f>IF(AK94&lt;5,"",IF(AK93&lt;3,"",IF(H109=5,H115-J115,IF(J109=5,J115-H115,""))))</f>
        <v/>
      </c>
      <c r="AJ113" s="42" t="str">
        <f>IF(AK94&lt;5,"",IF(AK93&lt;4,"",IF(K109=5,K115-M115,IF(M109=5,M115-K115,""))))</f>
        <v/>
      </c>
      <c r="AK113" s="42" t="str">
        <f>IF(AK94&lt;5,"",IF(AK93&lt;5,"",IF(N109=5,N115-P115,IF(P109=5,P115-N115,""))))</f>
        <v/>
      </c>
      <c r="AL113" s="42" t="str">
        <f>IF(AK94&lt;5,"",IF(AK93&lt;6,"",IF(Q109=5,Q115-S115,IF(S109=5,S115-Q115,""))))</f>
        <v/>
      </c>
      <c r="AM113" s="42" t="str">
        <f>IF(AK94&lt;5,"",IF(AK93&lt;7,"",IF(T109=5,T115-V115,IF(V109=5,V115-T115,""))))</f>
        <v/>
      </c>
      <c r="AN113" s="42" t="str">
        <f>IF(AK94&lt;5,"",IF(AK93&lt;8,"",IF(W109=5,W115-Y115,IF(Y109=5,Y115-W115,""))))</f>
        <v/>
      </c>
      <c r="AO113" s="42" t="str">
        <f>IF(AK94&lt;5,"",IF(AK93&lt;9,"",IF(Z109=5,Z115-AB115,IF(AB109=5,AB115-Z115,""))))</f>
        <v/>
      </c>
      <c r="AP113" s="42" t="str">
        <f>IF(AK94&lt;5,"",IF(AK93&lt;10,"",IF(AC109=5,AC115-AE115,IF(AE109=5,AE115-AC115,""))))</f>
        <v/>
      </c>
      <c r="AQ113" s="38">
        <f>SUM(AG113:AP113)</f>
        <v>0</v>
      </c>
    </row>
    <row r="114" spans="1:48" ht="15" x14ac:dyDescent="0.25">
      <c r="A114" s="3" t="str">
        <f>IF(AK92&gt;4,"Game 5","")</f>
        <v/>
      </c>
      <c r="B114" s="43"/>
      <c r="C114" s="44" t="s">
        <v>60</v>
      </c>
      <c r="D114" s="45"/>
      <c r="E114" s="43"/>
      <c r="F114" s="44" t="str">
        <f>IF(AK93&gt;1,IF(AK92&gt;4,"/",""),"")</f>
        <v/>
      </c>
      <c r="G114" s="45"/>
      <c r="H114" s="43"/>
      <c r="I114" s="44" t="str">
        <f>IF(AK93&gt;2,IF(AK92&gt;4,"/",""),"")</f>
        <v/>
      </c>
      <c r="J114" s="45"/>
      <c r="K114" s="43"/>
      <c r="L114" s="44" t="str">
        <f>IF(AK93&gt;3,IF(AK92&gt;4,"/",""),"")</f>
        <v/>
      </c>
      <c r="M114" s="45"/>
      <c r="N114" s="43"/>
      <c r="O114" s="44" t="str">
        <f>IF(AK93&gt;4,IF(AK92&gt;4,"/",""),"")</f>
        <v/>
      </c>
      <c r="P114" s="45"/>
      <c r="Q114" s="43"/>
      <c r="R114" s="44" t="str">
        <f>IF(AK93&gt;5,IF(AK92&gt;4,"/",""),"")</f>
        <v/>
      </c>
      <c r="S114" s="45"/>
      <c r="T114" s="43"/>
      <c r="U114" s="44" t="str">
        <f>IF(AK93&gt;6,IF(AK92&gt;4,"/",""),"")</f>
        <v/>
      </c>
      <c r="V114" s="45"/>
      <c r="W114" s="43"/>
      <c r="X114" s="44" t="str">
        <f>IF(AK93&gt;7,IF(AK92&gt;4,"/",""),"")</f>
        <v/>
      </c>
      <c r="Y114" s="45"/>
      <c r="Z114" s="43"/>
      <c r="AA114" s="44" t="str">
        <f>IF(AK93&gt;8,IF(AK92&gt;4,"/",""),"")</f>
        <v/>
      </c>
      <c r="AB114" s="45"/>
      <c r="AC114" s="43"/>
      <c r="AD114" s="44" t="str">
        <f>IF(AK93&gt;9,IF(AK92&gt;4,"/",""),"")</f>
        <v/>
      </c>
      <c r="AE114" s="45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spans="1:48" hidden="1" x14ac:dyDescent="0.25">
      <c r="A115" s="47"/>
      <c r="B115" s="47">
        <f>IF($AK92=5,SUM(B110:B114),IF($AK92=4,SUM(B110:B113),IF($AK92=3,SUM(B110:B112),IF($AK92=2,SUM(B110:B111),B110))))</f>
        <v>22</v>
      </c>
      <c r="C115" s="47"/>
      <c r="D115" s="47">
        <f>IF($AK92=5,SUM(D110:D114),IF($AK92=4,SUM(D110:D113),IF($AK92=3,SUM(D110:D112),IF($AK92=2,SUM(D110:D111),D110))))</f>
        <v>28</v>
      </c>
      <c r="E115" s="47">
        <f>IF($AK92=5,SUM(E110:E114),IF($AK92=4,SUM(E110:E113),IF($AK92=3,SUM(E110:E112),IF($AK92=2,SUM(E110:E111),E110))))</f>
        <v>27</v>
      </c>
      <c r="F115" s="47"/>
      <c r="G115" s="47">
        <f>IF($AK92=5,SUM(G110:G114),IF($AK92=4,SUM(G110:G113),IF($AK92=3,SUM(G110:G112),IF($AK92=2,SUM(G110:G111),G110))))</f>
        <v>21</v>
      </c>
      <c r="H115" s="47">
        <f>IF($AK92=5,SUM(H110:H114),IF($AK92=4,SUM(H110:H113),IF($AK92=3,SUM(H110:H112),IF($AK92=2,SUM(H110:H111),H110))))</f>
        <v>30</v>
      </c>
      <c r="I115" s="47"/>
      <c r="J115" s="47">
        <f>IF($AK92=5,SUM(J110:J114),IF($AK92=4,SUM(J110:J113),IF($AK92=3,SUM(J110:J112),IF($AK92=2,SUM(J110:J111),J110))))</f>
        <v>19</v>
      </c>
      <c r="K115" s="47">
        <f>IF($AK92=5,SUM(K110:K114),IF($AK92=4,SUM(K110:K113),IF($AK92=3,SUM(K110:K112),IF($AK92=2,SUM(K110:K111),K110))))</f>
        <v>27</v>
      </c>
      <c r="L115" s="47"/>
      <c r="M115" s="47">
        <f>IF($AK92=5,SUM(M110:M114),IF($AK92=4,SUM(M110:M113),IF($AK92=3,SUM(M110:M112),IF($AK92=2,SUM(M110:M111),M110))))</f>
        <v>26</v>
      </c>
      <c r="N115" s="47">
        <f>IF($AK92=5,SUM(N110:N114),IF($AK92=4,SUM(N110:N113),IF($AK92=3,SUM(N110:N112),IF($AK92=2,SUM(N110:N111),N110))))</f>
        <v>28</v>
      </c>
      <c r="O115" s="47"/>
      <c r="P115" s="47">
        <f>IF($AK92=5,SUM(P110:P114),IF($AK92=4,SUM(P110:P113),IF($AK92=3,SUM(P110:P112),IF($AK92=2,SUM(P110:P111),P110))))</f>
        <v>21</v>
      </c>
      <c r="Q115" s="47">
        <f>IF($AK92=5,SUM(Q110:Q114),IF($AK92=4,SUM(Q110:Q113),IF($AK92=3,SUM(Q110:Q112),IF($AK92=2,SUM(Q110:Q111),Q110))))</f>
        <v>23</v>
      </c>
      <c r="R115" s="47"/>
      <c r="S115" s="47">
        <f>IF($AK92=5,SUM(S110:S114),IF($AK92=4,SUM(S110:S113),IF($AK92=3,SUM(S110:S112),IF($AK92=2,SUM(S110:S111),S110))))</f>
        <v>30</v>
      </c>
      <c r="T115" s="47">
        <f>IF($AK92=5,SUM(T110:T114),IF($AK92=4,SUM(T110:T113),IF($AK92=3,SUM(T110:T112),IF($AK92=2,SUM(T110:T111),T110))))</f>
        <v>0</v>
      </c>
      <c r="U115" s="47"/>
      <c r="V115" s="47">
        <f>IF($AK92=5,SUM(V110:V114),IF($AK92=4,SUM(V110:V113),IF($AK92=3,SUM(V110:V112),IF($AK92=2,SUM(V110:V111),V110))))</f>
        <v>0</v>
      </c>
      <c r="W115" s="47">
        <f>IF($AK92=5,SUM(W110:W114),IF($AK92=4,SUM(W110:W113),IF($AK92=3,SUM(W110:W112),IF($AK92=2,SUM(W110:W111),W110))))</f>
        <v>0</v>
      </c>
      <c r="X115" s="47"/>
      <c r="Y115" s="47">
        <f>IF($AK92=5,SUM(Y110:Y114),IF($AK92=4,SUM(Y110:Y113),IF($AK92=3,SUM(Y110:Y112),IF($AK92=2,SUM(Y110:Y111),Y110))))</f>
        <v>0</v>
      </c>
      <c r="Z115" s="47">
        <f>IF($AK92=5,SUM(Z110:Z114),IF($AK92=4,SUM(Z110:Z113),IF($AK92=3,SUM(Z110:Z112),IF($AK92=2,SUM(Z110:Z111),Z110))))</f>
        <v>0</v>
      </c>
      <c r="AA115" s="47"/>
      <c r="AB115" s="47">
        <f>IF($AK92=5,SUM(AB110:AB114),IF($AK92=4,SUM(AB110:AB113),IF($AK92=3,SUM(AB110:AB112),IF($AK92=2,SUM(AB110:AB111),AB110))))</f>
        <v>0</v>
      </c>
      <c r="AC115" s="47">
        <f>IF($AK92=5,SUM(AC110:AC114),IF($AK92=4,SUM(AC110:AC113),IF($AK92=3,SUM(AC110:AC112),IF($AK92=2,SUM(AC110:AC111),AC110))))</f>
        <v>0</v>
      </c>
      <c r="AD115" s="47"/>
      <c r="AE115" s="47">
        <f>IF($AK92=5,SUM(AE110:AE114),IF($AK92=4,SUM(AE110:AE113),IF($AK92=3,SUM(AE110:AE112),IF($AK92=2,SUM(AE110:AE111),AE110))))</f>
        <v>0</v>
      </c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T115" s="48"/>
      <c r="AU115" s="48"/>
      <c r="AV115" s="48"/>
    </row>
    <row r="116" spans="1:48" s="48" customFormat="1" ht="12.75" hidden="1" customHeight="1" x14ac:dyDescent="0.25">
      <c r="A116" s="48" t="s">
        <v>61</v>
      </c>
      <c r="B116" s="49">
        <f>IF(AND(B110&gt;D110,$AK93&gt;0,ISNUMBER(B110),ISNUMBER(D110)),1,0)</f>
        <v>0</v>
      </c>
      <c r="C116" s="49"/>
      <c r="D116" s="50">
        <f>IF(AND(D110&gt;B110,$AK93&gt;0,ISNUMBER(B110),ISNUMBER(D110)),1,0)</f>
        <v>1</v>
      </c>
      <c r="E116" s="49">
        <f>IF(AND(E110&gt;G110,$AK93&gt;1,ISNUMBER(E110),ISNUMBER(G110)),1,0)</f>
        <v>1</v>
      </c>
      <c r="F116" s="49"/>
      <c r="G116" s="50">
        <f>IF(AND(G110&gt;E110,$AK93&gt;1,ISNUMBER(E110),ISNUMBER(G110)),1,0)</f>
        <v>0</v>
      </c>
      <c r="H116" s="49">
        <f>IF(AND(H110&gt;J110,$AK93&gt;2,ISNUMBER(H110),ISNUMBER(J110)),1,0)</f>
        <v>1</v>
      </c>
      <c r="I116" s="49"/>
      <c r="J116" s="50">
        <f>IF(AND(J110&gt;H110,$AK93&gt;2,ISNUMBER(H110),ISNUMBER(J110)),1,0)</f>
        <v>0</v>
      </c>
      <c r="K116" s="49">
        <f>IF(AND(K110&gt;M110,$AK93&gt;3,ISNUMBER(K110),ISNUMBER(M110)),1,0)</f>
        <v>1</v>
      </c>
      <c r="L116" s="49"/>
      <c r="M116" s="50">
        <f>IF(AND(M110&gt;K110,$AK93&gt;3,ISNUMBER(K110),ISNUMBER(M110)),1,0)</f>
        <v>0</v>
      </c>
      <c r="N116" s="49">
        <f>IF(AND(N110&gt;P110,$AK93&gt;4,ISNUMBER(N110),ISNUMBER(P110)),1,0)</f>
        <v>1</v>
      </c>
      <c r="O116" s="49"/>
      <c r="P116" s="50">
        <f>IF(AND(P110&gt;N110,$AK93&gt;4,ISNUMBER(N110),ISNUMBER(P110)),1,0)</f>
        <v>0</v>
      </c>
      <c r="Q116" s="49">
        <f>IF(AND(Q110&gt;S110,$AK93&gt;5,ISNUMBER(Q110),ISNUMBER(S110)),1,0)</f>
        <v>0</v>
      </c>
      <c r="R116" s="49"/>
      <c r="S116" s="50">
        <f>IF(AND(S110&gt;Q110,$AK93&gt;5,ISNUMBER(Q110),ISNUMBER(S110)),1,0)</f>
        <v>1</v>
      </c>
      <c r="T116" s="49">
        <f>IF(AND(T110&gt;V110,$AK93&gt;6,ISNUMBER(T110),ISNUMBER(V110)),1,0)</f>
        <v>0</v>
      </c>
      <c r="U116" s="49"/>
      <c r="V116" s="50">
        <f>IF(AND(V110&gt;T110,$AK93&gt;6,ISNUMBER(T110),ISNUMBER(V110)),1,0)</f>
        <v>0</v>
      </c>
      <c r="W116" s="49">
        <f>IF(AND(W110&gt;Y110,$AK93&gt;7,ISNUMBER(W110),ISNUMBER(Y110)),1,0)</f>
        <v>0</v>
      </c>
      <c r="X116" s="49"/>
      <c r="Y116" s="50">
        <f>IF(AND(Y110&gt;W110,$AK93&gt;7,ISNUMBER(W110),ISNUMBER(Y110)),1,0)</f>
        <v>0</v>
      </c>
      <c r="Z116" s="49">
        <f>IF(AND(Z110&gt;AB110,$AK93&gt;8,ISNUMBER(Z110),ISNUMBER(AB110)),1,0)</f>
        <v>0</v>
      </c>
      <c r="AA116" s="49"/>
      <c r="AB116" s="50">
        <f>IF(AND(AB110&gt;Z110,$AK93&gt;8,ISNUMBER(Z110),ISNUMBER(AB110)),1,0)</f>
        <v>0</v>
      </c>
      <c r="AC116" s="49">
        <f>IF(AND(AC110&gt;AE110,$AK93&gt;9,ISNUMBER(AC110),ISNUMBER(AE110)),1,0)</f>
        <v>0</v>
      </c>
      <c r="AD116" s="49"/>
      <c r="AE116" s="50">
        <f>IF(AND(AE110&gt;AC110,$AK93&gt;9,ISNUMBER(AC110),ISNUMBER(AE110)),1,0)</f>
        <v>0</v>
      </c>
    </row>
    <row r="117" spans="1:48" s="48" customFormat="1" ht="12.75" hidden="1" customHeight="1" x14ac:dyDescent="0.25">
      <c r="A117" s="48" t="s">
        <v>62</v>
      </c>
      <c r="B117" s="49">
        <f>IF(AND(B111&gt;D111,$AK93&gt;0,$AK92&gt;1,ISNUMBER(B111),ISNUMBER(D111)),1,0)</f>
        <v>0</v>
      </c>
      <c r="C117" s="49"/>
      <c r="D117" s="50">
        <f>IF(AND(D111&gt;B111,$AK93&gt;0,$AK92&gt;1,ISNUMBER(B111),ISNUMBER(D111)),1,0)</f>
        <v>0</v>
      </c>
      <c r="E117" s="49">
        <f>IF(AND(E111&gt;G111,$AK93&gt;1,$AK92&gt;1,ISNUMBER(E111),ISNUMBER(G111)),1,0)</f>
        <v>0</v>
      </c>
      <c r="F117" s="49"/>
      <c r="G117" s="50">
        <f>IF(AND(G111&gt;E111,$AK93&gt;1,$AK92&gt;1,ISNUMBER(E111),ISNUMBER(G111)),1,0)</f>
        <v>0</v>
      </c>
      <c r="H117" s="49">
        <f>IF(AND(H111&gt;J111,$AK93&gt;2,$AK92&gt;1,ISNUMBER(H111),ISNUMBER(J111)),1,0)</f>
        <v>0</v>
      </c>
      <c r="I117" s="49"/>
      <c r="J117" s="50">
        <f>IF(AND(J111&gt;H111,$AK93&gt;2,$AK92&gt;1,ISNUMBER(H111),ISNUMBER(J111)),1,0)</f>
        <v>0</v>
      </c>
      <c r="K117" s="49">
        <f>IF(AND(K111&gt;M111,$AK93&gt;3,$AK92&gt;1,ISNUMBER(K111),ISNUMBER(M111)),1,0)</f>
        <v>0</v>
      </c>
      <c r="L117" s="49"/>
      <c r="M117" s="50">
        <f>IF(AND(M111&gt;K111,$AK93&gt;3,$AK92&gt;1,ISNUMBER(K111),ISNUMBER(M111)),1,0)</f>
        <v>0</v>
      </c>
      <c r="N117" s="49">
        <f>IF(AND(N111&gt;P111,$AK93&gt;4,$AK92&gt;1,ISNUMBER(N111),ISNUMBER(P111)),1,0)</f>
        <v>0</v>
      </c>
      <c r="O117" s="49"/>
      <c r="P117" s="50">
        <f>IF(AND(P111&gt;N111,$AK93&gt;4,$AK92&gt;1,ISNUMBER(N111),ISNUMBER(P111)),1,0)</f>
        <v>0</v>
      </c>
      <c r="Q117" s="49">
        <f>IF(AND(Q111&gt;S111,$AK93&gt;5,$AK92&gt;1,ISNUMBER(Q111),ISNUMBER(S111)),1,0)</f>
        <v>0</v>
      </c>
      <c r="R117" s="49"/>
      <c r="S117" s="50">
        <f>IF(AND(S111&gt;Q111,$AK93&gt;5,$AK92&gt;1,ISNUMBER(Q111),ISNUMBER(S111)),1,0)</f>
        <v>0</v>
      </c>
      <c r="T117" s="49">
        <f>IF(AND(T111&gt;V111,$AK93&gt;6,$AK92&gt;1,ISNUMBER(T111),ISNUMBER(V111)),1,0)</f>
        <v>0</v>
      </c>
      <c r="U117" s="49"/>
      <c r="V117" s="50">
        <f>IF(AND(V111&gt;T111,$AK93&gt;6,$AK92&gt;1,ISNUMBER(T111),ISNUMBER(V111)),1,0)</f>
        <v>0</v>
      </c>
      <c r="W117" s="49">
        <f>IF(AND(W111&gt;Y111,$AK93&gt;7,$AK92&gt;1,ISNUMBER(W111),ISNUMBER(Y111)),1,0)</f>
        <v>0</v>
      </c>
      <c r="X117" s="49"/>
      <c r="Y117" s="50">
        <f>IF(AND(Y111&gt;W111,$AK93&gt;7,$AK92&gt;1,ISNUMBER(W111),ISNUMBER(Y111)),1,0)</f>
        <v>0</v>
      </c>
      <c r="Z117" s="49">
        <f>IF(AND(Z111&gt;AB111,$AK93&gt;8,$AK92&gt;1,ISNUMBER(Z111),ISNUMBER(AB111)),1,0)</f>
        <v>0</v>
      </c>
      <c r="AA117" s="49"/>
      <c r="AB117" s="50">
        <f>IF(AND(AB111&gt;Z111,$AK93&gt;8,$AK92&gt;1,ISNUMBER(Z111),ISNUMBER(AB111)),1,0)</f>
        <v>0</v>
      </c>
      <c r="AC117" s="49">
        <f>IF(AND(AC111&gt;AE111,$AK93&gt;9,$AK92&gt;1,ISNUMBER(AC111),ISNUMBER(AE111)),1,0)</f>
        <v>0</v>
      </c>
      <c r="AD117" s="49"/>
      <c r="AE117" s="50">
        <f>IF(AND(AE111&gt;AC111,$AK93&gt;9,$AK92&gt;1,ISNUMBER(AC111),ISNUMBER(AE111)),1,0)</f>
        <v>0</v>
      </c>
    </row>
    <row r="118" spans="1:48" s="48" customFormat="1" ht="12.75" hidden="1" customHeight="1" x14ac:dyDescent="0.25">
      <c r="A118" s="48" t="s">
        <v>63</v>
      </c>
      <c r="B118" s="49">
        <f>IF(AND(B112&gt;D112,$AK93&gt;0,$AK92&gt;2,ISNUMBER(B112),ISNUMBER(D112)),1,0)</f>
        <v>0</v>
      </c>
      <c r="C118" s="49"/>
      <c r="D118" s="50">
        <f>IF(AND(D112&gt;B112,$AK93&gt;0,$AK92&gt;2,ISNUMBER(B112),ISNUMBER(D112)),1,0)</f>
        <v>0</v>
      </c>
      <c r="E118" s="49">
        <f>IF(AND(E112&gt;G112,$AK93&gt;1,$AK92&gt;2,ISNUMBER(E112),ISNUMBER(G112)),1,0)</f>
        <v>0</v>
      </c>
      <c r="F118" s="49"/>
      <c r="G118" s="50">
        <f>IF(AND(G112&gt;E112,$AK93&gt;1,$AK92&gt;2,ISNUMBER(E112),ISNUMBER(G112)),1,0)</f>
        <v>0</v>
      </c>
      <c r="H118" s="49">
        <f>IF(AND(H112&gt;J112,$AK93&gt;2,$AK92&gt;2,ISNUMBER(H112),ISNUMBER(J112)),1,0)</f>
        <v>0</v>
      </c>
      <c r="I118" s="49"/>
      <c r="J118" s="50">
        <f>IF(AND(J112&gt;H112,$AK93&gt;2,$AK92&gt;2,ISNUMBER(H112),ISNUMBER(J112)),1,0)</f>
        <v>0</v>
      </c>
      <c r="K118" s="49">
        <f>IF(AND(K112&gt;M112,$AK93&gt;3,$AK92&gt;2,ISNUMBER(K112),ISNUMBER(M112)),1,0)</f>
        <v>0</v>
      </c>
      <c r="L118" s="49"/>
      <c r="M118" s="50">
        <f>IF(AND(M112&gt;K112,$AK93&gt;3,$AK92&gt;2,ISNUMBER(K112),ISNUMBER(M112)),1,0)</f>
        <v>0</v>
      </c>
      <c r="N118" s="49">
        <f>IF(AND(N112&gt;P112,$AK93&gt;4,$AK92&gt;2,ISNUMBER(N112),ISNUMBER(P112)),1,0)</f>
        <v>0</v>
      </c>
      <c r="O118" s="49"/>
      <c r="P118" s="50">
        <f>IF(AND(P112&gt;N112,$AK93&gt;4,$AK92&gt;2,ISNUMBER(N112),ISNUMBER(P112)),1,0)</f>
        <v>0</v>
      </c>
      <c r="Q118" s="49">
        <f>IF(AND(Q112&gt;S112,$AK93&gt;5,$AK92&gt;2,ISNUMBER(Q112),ISNUMBER(S112)),1,0)</f>
        <v>0</v>
      </c>
      <c r="R118" s="49"/>
      <c r="S118" s="50">
        <f>IF(AND(S112&gt;Q112,$AK93&gt;5,$AK92&gt;2,ISNUMBER(Q112),ISNUMBER(S112)),1,0)</f>
        <v>0</v>
      </c>
      <c r="T118" s="49">
        <f>IF(AND(T112&gt;V112,$AK93&gt;6,$AK92&gt;2,ISNUMBER(T112),ISNUMBER(V112)),1,0)</f>
        <v>0</v>
      </c>
      <c r="U118" s="49"/>
      <c r="V118" s="50">
        <f>IF(AND(V112&gt;T112,$AK93&gt;6,$AK92&gt;2,ISNUMBER(T112),ISNUMBER(V112)),1,0)</f>
        <v>0</v>
      </c>
      <c r="W118" s="49">
        <f>IF(AND(W112&gt;Y112,$AK93&gt;7,$AK92&gt;2,ISNUMBER(W112),ISNUMBER(Y112)),1,0)</f>
        <v>0</v>
      </c>
      <c r="X118" s="49"/>
      <c r="Y118" s="50">
        <f>IF(AND(Y112&gt;W112,$AK93&gt;7,$AK92&gt;2,ISNUMBER(W112),ISNUMBER(Y112)),1,0)</f>
        <v>0</v>
      </c>
      <c r="Z118" s="49">
        <f>IF(AND(Z112&gt;AB112,$AK93&gt;8,$AK92&gt;2,ISNUMBER(Z112),ISNUMBER(AB112)),1,0)</f>
        <v>0</v>
      </c>
      <c r="AA118" s="49"/>
      <c r="AB118" s="50">
        <f>IF(AND(AB112&gt;Z112,$AK93&gt;8,$AK92&gt;2,ISNUMBER(Z112),ISNUMBER(AB112)),1,0)</f>
        <v>0</v>
      </c>
      <c r="AC118" s="49">
        <f>IF(AND(AC112&gt;AE112,$AK93&gt;9,$AK92&gt;2,ISNUMBER(AC112),ISNUMBER(AE112)),1,0)</f>
        <v>0</v>
      </c>
      <c r="AD118" s="49"/>
      <c r="AE118" s="50">
        <f>IF(AND(AE112&gt;AC112,$AK93&gt;9,$AK92&gt;2,ISNUMBER(AC112),ISNUMBER(AE112)),1,0)</f>
        <v>0</v>
      </c>
    </row>
    <row r="119" spans="1:48" s="48" customFormat="1" ht="12.75" hidden="1" customHeight="1" x14ac:dyDescent="0.25">
      <c r="A119" s="48" t="s">
        <v>64</v>
      </c>
      <c r="B119" s="49">
        <f>IF(AND(B113&gt;D113,$AK93&gt;0,$AK92&gt;3,ISNUMBER(B113),ISNUMBER(D113)),1,0)</f>
        <v>0</v>
      </c>
      <c r="C119" s="49"/>
      <c r="D119" s="50">
        <f>IF(AND(D113&gt;B113,$AK93&gt;0,$AK92&gt;3,ISNUMBER(B113),ISNUMBER(D113)),1,0)</f>
        <v>0</v>
      </c>
      <c r="E119" s="49">
        <f>IF(AND(E113&gt;G113,$AK93&gt;1,$AK92&gt;3,ISNUMBER(E113),ISNUMBER(G113)),1,0)</f>
        <v>0</v>
      </c>
      <c r="F119" s="49"/>
      <c r="G119" s="50">
        <f>IF(AND(G113&gt;E113,$AK93&gt;1,$AK92&gt;3,ISNUMBER(E113),ISNUMBER(G113)),1,0)</f>
        <v>0</v>
      </c>
      <c r="H119" s="49">
        <f>IF(AND(H113&gt;J113,$AK93&gt;2,$AK92&gt;3,ISNUMBER(H113),ISNUMBER(J113)),1,0)</f>
        <v>0</v>
      </c>
      <c r="I119" s="49"/>
      <c r="J119" s="50">
        <f>IF(AND(J113&gt;H113,$AK93&gt;2,$AK92&gt;3,ISNUMBER(H113),ISNUMBER(J113)),1,0)</f>
        <v>0</v>
      </c>
      <c r="K119" s="49">
        <f>IF(AND(K113&gt;M113,$AK93&gt;3,$AK92&gt;3,ISNUMBER(K113),ISNUMBER(M113)),1,0)</f>
        <v>0</v>
      </c>
      <c r="L119" s="49"/>
      <c r="M119" s="50">
        <f>IF(AND(M113&gt;K113,$AK93&gt;3,$AK92&gt;3,ISNUMBER(K113),ISNUMBER(M113)),1,0)</f>
        <v>0</v>
      </c>
      <c r="N119" s="49">
        <f>IF(AND(N113&gt;P113,$AK93&gt;4,$AK92&gt;3,ISNUMBER(N113),ISNUMBER(P113)),1,0)</f>
        <v>0</v>
      </c>
      <c r="O119" s="49"/>
      <c r="P119" s="50">
        <f>IF(AND(P113&gt;N113,$AK93&gt;4,$AK92&gt;3,ISNUMBER(N113),ISNUMBER(P113)),1,0)</f>
        <v>0</v>
      </c>
      <c r="Q119" s="49">
        <f>IF(AND(Q113&gt;S113,$AK93&gt;5,$AK92&gt;3,ISNUMBER(Q113),ISNUMBER(S113)),1,0)</f>
        <v>0</v>
      </c>
      <c r="R119" s="49"/>
      <c r="S119" s="50">
        <f>IF(AND(S113&gt;Q113,$AK93&gt;5,$AK92&gt;3,ISNUMBER(Q113),ISNUMBER(S113)),1,0)</f>
        <v>0</v>
      </c>
      <c r="T119" s="49">
        <f>IF(AND(T113&gt;V113,$AK93&gt;6,$AK92&gt;3,ISNUMBER(T113),ISNUMBER(V113)),1,0)</f>
        <v>0</v>
      </c>
      <c r="U119" s="49"/>
      <c r="V119" s="50">
        <f>IF(AND(V113&gt;T113,$AK93&gt;6,$AK92&gt;3,ISNUMBER(T113),ISNUMBER(V113)),1,0)</f>
        <v>0</v>
      </c>
      <c r="W119" s="49">
        <f>IF(AND(W113&gt;Y113,$AK93&gt;7,$AK92&gt;3,ISNUMBER(W113),ISNUMBER(Y113)),1,0)</f>
        <v>0</v>
      </c>
      <c r="X119" s="49"/>
      <c r="Y119" s="50">
        <f>IF(AND(Y113&gt;W113,$AK93&gt;7,$AK92&gt;3,ISNUMBER(W113),ISNUMBER(Y113)),1,0)</f>
        <v>0</v>
      </c>
      <c r="Z119" s="49">
        <f>IF(AND(Z113&gt;AB113,$AK93&gt;8,$AK92&gt;3,ISNUMBER(Z113),ISNUMBER(AB113)),1,0)</f>
        <v>0</v>
      </c>
      <c r="AA119" s="49"/>
      <c r="AB119" s="50">
        <f>IF(AND(AB113&gt;Z113,$AK93&gt;8,$AK92&gt;3,ISNUMBER(Z113),ISNUMBER(AB113)),1,0)</f>
        <v>0</v>
      </c>
      <c r="AC119" s="49">
        <f>IF(AND(AC113&gt;AE113,$AK93&gt;9,$AK92&gt;3,ISNUMBER(AC113),ISNUMBER(AE113)),1,0)</f>
        <v>0</v>
      </c>
      <c r="AD119" s="49"/>
      <c r="AE119" s="50">
        <f>IF(AND(AE113&gt;AC113,$AK93&gt;9,$AK92&gt;3,ISNUMBER(AC113),ISNUMBER(AE113)),1,0)</f>
        <v>0</v>
      </c>
    </row>
    <row r="120" spans="1:48" s="48" customFormat="1" ht="12.75" hidden="1" customHeight="1" x14ac:dyDescent="0.25">
      <c r="A120" s="48" t="s">
        <v>65</v>
      </c>
      <c r="B120" s="49">
        <f>IF(AND(B114&gt;D114,$AK93&gt;0,$AK92&gt;4,ISNUMBER(B114),ISNUMBER(D114)),1,0)</f>
        <v>0</v>
      </c>
      <c r="C120" s="49"/>
      <c r="D120" s="50">
        <f>IF(AND(D114&gt;B114,$AK93&gt;0,$AK92&gt;4,ISNUMBER(B114),ISNUMBER(D114)),1,0)</f>
        <v>0</v>
      </c>
      <c r="E120" s="49">
        <f>IF(AND(E114&gt;G114,$AK93&gt;1,$AK92&gt;4,ISNUMBER(E114),ISNUMBER(G114)),1,0)</f>
        <v>0</v>
      </c>
      <c r="F120" s="49"/>
      <c r="G120" s="50">
        <f>IF(AND(G114&gt;E114,$AK93&gt;1,$AK92&gt;4,ISNUMBER(E114),ISNUMBER(G114)),1,0)</f>
        <v>0</v>
      </c>
      <c r="H120" s="49">
        <f>IF(AND(H114&gt;J114,$AK93&gt;2,$AK92&gt;4,ISNUMBER(H114),ISNUMBER(J114)),1,0)</f>
        <v>0</v>
      </c>
      <c r="I120" s="49"/>
      <c r="J120" s="50">
        <f>IF(AND(J114&gt;H114,$AK93&gt;2,$AK92&gt;4,ISNUMBER(H114),ISNUMBER(J114)),1,0)</f>
        <v>0</v>
      </c>
      <c r="K120" s="49">
        <f>IF(AND(K114&gt;M114,$AK93&gt;3,$AK92&gt;4,ISNUMBER(K114),ISNUMBER(M114)),1,0)</f>
        <v>0</v>
      </c>
      <c r="L120" s="49"/>
      <c r="M120" s="50">
        <f>IF(AND(M114&gt;K114,$AK93&gt;3,$AK92&gt;4,ISNUMBER(K114),ISNUMBER(M114)),1,0)</f>
        <v>0</v>
      </c>
      <c r="N120" s="49">
        <f>IF(AND(N114&gt;P114,$AK93&gt;4,$AK92&gt;4,ISNUMBER(N114),ISNUMBER(P114)),1,0)</f>
        <v>0</v>
      </c>
      <c r="O120" s="49"/>
      <c r="P120" s="50">
        <f>IF(AND(P114&gt;N114,$AK93&gt;4,$AK92&gt;4,ISNUMBER(N114),ISNUMBER(P114)),1,0)</f>
        <v>0</v>
      </c>
      <c r="Q120" s="49">
        <f>IF(AND(Q114&gt;S114,$AK93&gt;5,$AK92&gt;4,ISNUMBER(Q114),ISNUMBER(S114)),1,0)</f>
        <v>0</v>
      </c>
      <c r="R120" s="49"/>
      <c r="S120" s="50">
        <f>IF(AND(S114&gt;Q114,$AK93&gt;5,$AK92&gt;4,ISNUMBER(Q114),ISNUMBER(S114)),1,0)</f>
        <v>0</v>
      </c>
      <c r="T120" s="49">
        <f>IF(AND(T114&gt;V114,$AK93&gt;6,$AK92&gt;4,ISNUMBER(T114),ISNUMBER(V114)),1,0)</f>
        <v>0</v>
      </c>
      <c r="U120" s="49"/>
      <c r="V120" s="50">
        <f>IF(AND(V114&gt;T114,$AK93&gt;6,$AK92&gt;4,ISNUMBER(T114),ISNUMBER(V114)),1,0)</f>
        <v>0</v>
      </c>
      <c r="W120" s="49">
        <f>IF(AND(W114&gt;Y114,$AK93&gt;7,$AK92&gt;4,ISNUMBER(W114),ISNUMBER(Y114)),1,0)</f>
        <v>0</v>
      </c>
      <c r="X120" s="49"/>
      <c r="Y120" s="50">
        <f>IF(AND(Y114&gt;W114,$AK93&gt;7,$AK92&gt;4,ISNUMBER(W114),ISNUMBER(Y114)),1,0)</f>
        <v>0</v>
      </c>
      <c r="Z120" s="49">
        <f>IF(AND(Z114&gt;AB114,$AK93&gt;8,$AK92&gt;4,ISNUMBER(Z114),ISNUMBER(AB114)),1,0)</f>
        <v>0</v>
      </c>
      <c r="AA120" s="49"/>
      <c r="AB120" s="50">
        <f>IF(AND(AB114&gt;Z114,$AK93&gt;8,$AK92&gt;4,ISNUMBER(Z114),ISNUMBER(AB114)),1,0)</f>
        <v>0</v>
      </c>
      <c r="AC120" s="49">
        <f>IF(AND(AC114&gt;AE114,$AK93&gt;9,$AK92&gt;4,ISNUMBER(AC114),ISNUMBER(AE114)),1,0)</f>
        <v>0</v>
      </c>
      <c r="AD120" s="49"/>
      <c r="AE120" s="50">
        <f>IF(AND(AE114&gt;AC114,$AK93&gt;9,$AK92&gt;4,ISNUMBER(AC114),ISNUMBER(AE114)),1,0)</f>
        <v>0</v>
      </c>
    </row>
    <row r="121" spans="1:48" s="48" customFormat="1" ht="38.25" hidden="1" customHeight="1" x14ac:dyDescent="0.25">
      <c r="A121" s="51" t="s">
        <v>66</v>
      </c>
      <c r="B121" s="48">
        <f>SUM(B116:B120)</f>
        <v>0</v>
      </c>
      <c r="D121" s="52">
        <f>SUM(D116:D120)</f>
        <v>1</v>
      </c>
      <c r="E121" s="48">
        <f>SUM(E116:E120)</f>
        <v>1</v>
      </c>
      <c r="G121" s="52">
        <f>SUM(G116:G120)</f>
        <v>0</v>
      </c>
      <c r="H121" s="48">
        <f>SUM(H116:H120)</f>
        <v>1</v>
      </c>
      <c r="J121" s="52">
        <f>SUM(J116:J120)</f>
        <v>0</v>
      </c>
      <c r="K121" s="48">
        <f>SUM(K116:K120)</f>
        <v>1</v>
      </c>
      <c r="M121" s="52">
        <f>SUM(M116:M120)</f>
        <v>0</v>
      </c>
      <c r="N121" s="48">
        <f>SUM(N116:N120)</f>
        <v>1</v>
      </c>
      <c r="P121" s="52">
        <f>SUM(P116:P120)</f>
        <v>0</v>
      </c>
      <c r="Q121" s="48">
        <f>SUM(Q116:Q120)</f>
        <v>0</v>
      </c>
      <c r="S121" s="52">
        <f>SUM(S116:S120)</f>
        <v>1</v>
      </c>
      <c r="T121" s="48">
        <f>SUM(T116:T120)</f>
        <v>0</v>
      </c>
      <c r="V121" s="52">
        <f>SUM(V116:V120)</f>
        <v>0</v>
      </c>
      <c r="W121" s="48">
        <f>SUM(W116:W120)</f>
        <v>0</v>
      </c>
      <c r="Y121" s="52">
        <f>SUM(Y116:Y120)</f>
        <v>0</v>
      </c>
      <c r="Z121" s="48">
        <f>SUM(Z116:Z120)</f>
        <v>0</v>
      </c>
      <c r="AB121" s="52">
        <f>SUM(AB116:AB120)</f>
        <v>0</v>
      </c>
      <c r="AC121" s="48">
        <f>SUM(AC116:AC120)</f>
        <v>0</v>
      </c>
      <c r="AE121" s="52">
        <f>SUM(AE116:AE120)</f>
        <v>0</v>
      </c>
    </row>
    <row r="122" spans="1:48" s="48" customFormat="1" ht="25.5" hidden="1" customHeight="1" x14ac:dyDescent="0.25">
      <c r="A122" s="51" t="s">
        <v>67</v>
      </c>
      <c r="B122" s="48">
        <f>IF(B121&gt;D121,IF(C156=AK92,1,IF(C156=AK92-1,1,0)),0)</f>
        <v>0</v>
      </c>
      <c r="C122" s="48">
        <f>B122+D122</f>
        <v>1</v>
      </c>
      <c r="D122" s="52">
        <f>IF(D121&gt;B121,IF(C156=AK92,1,IF(C156=AK92-1,1,0)),0)</f>
        <v>1</v>
      </c>
      <c r="E122" s="48">
        <f>IF(E121&gt;G121,IF(F156=AK92,1,IF(F156=AK92-1,1,0)),0)</f>
        <v>1</v>
      </c>
      <c r="F122" s="48">
        <f>E122+G122</f>
        <v>1</v>
      </c>
      <c r="G122" s="52">
        <f>IF(G121&gt;E121,IF(F156=AK92,1,IF(F156=AK92-1,1,0)),0)</f>
        <v>0</v>
      </c>
      <c r="H122" s="48">
        <f>IF(H121&gt;J121,IF(I156=AK92,1,IF(I156=AK92-1,1,0)),0)</f>
        <v>1</v>
      </c>
      <c r="I122" s="48">
        <f>H122+J122</f>
        <v>1</v>
      </c>
      <c r="J122" s="52">
        <f>IF(J121&gt;H121,IF(I156=AK92,1,IF(I156=AK92-1,1,0)),0)</f>
        <v>0</v>
      </c>
      <c r="K122" s="48">
        <f>IF(K121&gt;M121,IF(L156=AK92,1,IF(L156=AK92-1,1,0)),0)</f>
        <v>1</v>
      </c>
      <c r="L122" s="48">
        <f>K122+M122</f>
        <v>1</v>
      </c>
      <c r="M122" s="52">
        <f>IF(M121&gt;K121,IF(L156=AK92,1,IF(L156=AK92-1,1,0)),0)</f>
        <v>0</v>
      </c>
      <c r="N122" s="48">
        <f>IF(N121&gt;P121,IF(O156=AK92,1,IF(O156=AK92-1,1,0)),0)</f>
        <v>1</v>
      </c>
      <c r="O122" s="48">
        <f>N122+P122</f>
        <v>1</v>
      </c>
      <c r="P122" s="52">
        <f>IF(P121&gt;N121,IF(O156=AK92,1,IF(O156=AK92-1,1,0)),0)</f>
        <v>0</v>
      </c>
      <c r="Q122" s="48">
        <f>IF(Q121&gt;S121,IF(R156=AK92,1,IF(R156=AK92-1,1,0)),0)</f>
        <v>0</v>
      </c>
      <c r="R122" s="48">
        <f>Q122+S122</f>
        <v>1</v>
      </c>
      <c r="S122" s="52">
        <f>IF(S121&gt;Q121,IF(R156=AK92,1,IF(R156=AK92-1,1,0)),0)</f>
        <v>1</v>
      </c>
      <c r="T122" s="48">
        <f>IF(T121&gt;V121,IF(U156=AK92,1,IF(U156=AK92-1,1,0)),0)</f>
        <v>0</v>
      </c>
      <c r="U122" s="48">
        <f>T122+V122</f>
        <v>0</v>
      </c>
      <c r="V122" s="52">
        <f>IF(V121&gt;T121,IF(U156=AK92,1,IF(U156=AK92-1,1,0)),0)</f>
        <v>0</v>
      </c>
      <c r="W122" s="48">
        <f>IF(W121&gt;Y121,IF(X156=AK92,1,IF(X156=AK92-1,1,0)),0)</f>
        <v>0</v>
      </c>
      <c r="X122" s="48">
        <f>W122+Y122</f>
        <v>0</v>
      </c>
      <c r="Y122" s="52">
        <f>IF(Y121&gt;W121,IF(X156=AK92,1,IF(X156=AK92-1,1,0)),0)</f>
        <v>0</v>
      </c>
      <c r="Z122" s="48">
        <f>IF(Z121&gt;AB121,IF(AA156=AK92,1,IF(AA156=AK92-1,1,0)),0)</f>
        <v>0</v>
      </c>
      <c r="AA122" s="48">
        <f>Z122+AB122</f>
        <v>0</v>
      </c>
      <c r="AB122" s="52">
        <f>IF(AB121&gt;Z121,IF(AA156=AK92,1,IF(AA156=AK92-1,1,0)),0)</f>
        <v>0</v>
      </c>
      <c r="AC122" s="48">
        <f>IF(AC121&gt;AE121,IF(AD156=AK92,1,IF(AD156=AK92-1,1,0)),0)</f>
        <v>0</v>
      </c>
      <c r="AD122" s="48">
        <f>AC122+AE122</f>
        <v>0</v>
      </c>
      <c r="AE122" s="52">
        <f>IF(AE121&gt;AC121,IF(AD156=AK92,1,IF(AD156=AK92-1,1,0)),0)</f>
        <v>0</v>
      </c>
    </row>
    <row r="123" spans="1:48" s="48" customFormat="1" ht="25.5" hidden="1" customHeight="1" x14ac:dyDescent="0.25">
      <c r="A123" s="51"/>
      <c r="D123" s="52"/>
      <c r="G123" s="52"/>
      <c r="J123" s="52"/>
      <c r="M123" s="52"/>
      <c r="P123" s="52"/>
      <c r="S123" s="52"/>
      <c r="V123" s="52"/>
      <c r="Y123" s="52"/>
      <c r="AB123" s="52"/>
      <c r="AE123" s="52"/>
    </row>
    <row r="124" spans="1:48" s="48" customFormat="1" ht="12.75" hidden="1" customHeight="1" x14ac:dyDescent="0.25">
      <c r="A124" s="48" t="s">
        <v>68</v>
      </c>
      <c r="B124" s="48">
        <f>IF(B116=1,B110,0)</f>
        <v>0</v>
      </c>
      <c r="D124" s="52">
        <f t="shared" ref="D124:E128" si="9">IF(D116=1,D110,0)</f>
        <v>28</v>
      </c>
      <c r="E124" s="48">
        <f t="shared" si="9"/>
        <v>27</v>
      </c>
      <c r="G124" s="52">
        <f t="shared" ref="G124:H128" si="10">IF(G116=1,G110,0)</f>
        <v>0</v>
      </c>
      <c r="H124" s="48">
        <f t="shared" si="10"/>
        <v>30</v>
      </c>
      <c r="J124" s="52">
        <f t="shared" ref="J124:K128" si="11">IF(J116=1,J110,0)</f>
        <v>0</v>
      </c>
      <c r="K124" s="48">
        <f t="shared" si="11"/>
        <v>27</v>
      </c>
      <c r="M124" s="52">
        <f t="shared" ref="M124:N128" si="12">IF(M116=1,M110,0)</f>
        <v>0</v>
      </c>
      <c r="N124" s="48">
        <f t="shared" si="12"/>
        <v>28</v>
      </c>
      <c r="P124" s="52">
        <f t="shared" ref="P124:Q128" si="13">IF(P116=1,P110,0)</f>
        <v>0</v>
      </c>
      <c r="Q124" s="48">
        <f t="shared" si="13"/>
        <v>0</v>
      </c>
      <c r="S124" s="52">
        <f t="shared" ref="S124:T128" si="14">IF(S116=1,S110,0)</f>
        <v>30</v>
      </c>
      <c r="T124" s="48">
        <f t="shared" si="14"/>
        <v>0</v>
      </c>
      <c r="V124" s="52">
        <f t="shared" ref="V124:W128" si="15">IF(V116=1,V110,0)</f>
        <v>0</v>
      </c>
      <c r="W124" s="48">
        <f t="shared" si="15"/>
        <v>0</v>
      </c>
      <c r="Y124" s="52">
        <f t="shared" ref="Y124:Z128" si="16">IF(Y116=1,Y110,0)</f>
        <v>0</v>
      </c>
      <c r="Z124" s="48">
        <f t="shared" si="16"/>
        <v>0</v>
      </c>
      <c r="AB124" s="52">
        <f t="shared" ref="AB124:AC128" si="17">IF(AB116=1,AB110,0)</f>
        <v>0</v>
      </c>
      <c r="AC124" s="48">
        <f t="shared" si="17"/>
        <v>0</v>
      </c>
      <c r="AE124" s="52">
        <f>IF(AE116=1,AE110,0)</f>
        <v>0</v>
      </c>
    </row>
    <row r="125" spans="1:48" s="48" customFormat="1" ht="12.75" hidden="1" customHeight="1" x14ac:dyDescent="0.25">
      <c r="A125" s="48" t="s">
        <v>69</v>
      </c>
      <c r="B125" s="48">
        <f>IF(B117=1,B111,0)</f>
        <v>0</v>
      </c>
      <c r="D125" s="52">
        <f t="shared" si="9"/>
        <v>0</v>
      </c>
      <c r="E125" s="48">
        <f t="shared" si="9"/>
        <v>0</v>
      </c>
      <c r="G125" s="52">
        <f t="shared" si="10"/>
        <v>0</v>
      </c>
      <c r="H125" s="48">
        <f t="shared" si="10"/>
        <v>0</v>
      </c>
      <c r="J125" s="52">
        <f t="shared" si="11"/>
        <v>0</v>
      </c>
      <c r="K125" s="48">
        <f t="shared" si="11"/>
        <v>0</v>
      </c>
      <c r="M125" s="52">
        <f t="shared" si="12"/>
        <v>0</v>
      </c>
      <c r="N125" s="48">
        <f t="shared" si="12"/>
        <v>0</v>
      </c>
      <c r="P125" s="52">
        <f t="shared" si="13"/>
        <v>0</v>
      </c>
      <c r="Q125" s="48">
        <f t="shared" si="13"/>
        <v>0</v>
      </c>
      <c r="S125" s="52">
        <f t="shared" si="14"/>
        <v>0</v>
      </c>
      <c r="T125" s="48">
        <f t="shared" si="14"/>
        <v>0</v>
      </c>
      <c r="V125" s="52">
        <f t="shared" si="15"/>
        <v>0</v>
      </c>
      <c r="W125" s="48">
        <f t="shared" si="15"/>
        <v>0</v>
      </c>
      <c r="Y125" s="52">
        <f t="shared" si="16"/>
        <v>0</v>
      </c>
      <c r="Z125" s="48">
        <f t="shared" si="16"/>
        <v>0</v>
      </c>
      <c r="AB125" s="52">
        <f t="shared" si="17"/>
        <v>0</v>
      </c>
      <c r="AC125" s="48">
        <f t="shared" si="17"/>
        <v>0</v>
      </c>
      <c r="AE125" s="52">
        <f>IF(AE117=1,AE111,0)</f>
        <v>0</v>
      </c>
    </row>
    <row r="126" spans="1:48" s="48" customFormat="1" ht="12.75" hidden="1" customHeight="1" x14ac:dyDescent="0.25">
      <c r="A126" s="48" t="s">
        <v>70</v>
      </c>
      <c r="B126" s="48">
        <f>IF(B118=1,B112,0)</f>
        <v>0</v>
      </c>
      <c r="D126" s="52">
        <f t="shared" si="9"/>
        <v>0</v>
      </c>
      <c r="E126" s="48">
        <f t="shared" si="9"/>
        <v>0</v>
      </c>
      <c r="G126" s="52">
        <f t="shared" si="10"/>
        <v>0</v>
      </c>
      <c r="H126" s="48">
        <f t="shared" si="10"/>
        <v>0</v>
      </c>
      <c r="J126" s="52">
        <f t="shared" si="11"/>
        <v>0</v>
      </c>
      <c r="K126" s="48">
        <f t="shared" si="11"/>
        <v>0</v>
      </c>
      <c r="M126" s="52">
        <f t="shared" si="12"/>
        <v>0</v>
      </c>
      <c r="N126" s="48">
        <f t="shared" si="12"/>
        <v>0</v>
      </c>
      <c r="P126" s="52">
        <f t="shared" si="13"/>
        <v>0</v>
      </c>
      <c r="Q126" s="48">
        <f t="shared" si="13"/>
        <v>0</v>
      </c>
      <c r="S126" s="52">
        <f t="shared" si="14"/>
        <v>0</v>
      </c>
      <c r="T126" s="48">
        <f t="shared" si="14"/>
        <v>0</v>
      </c>
      <c r="V126" s="52">
        <f t="shared" si="15"/>
        <v>0</v>
      </c>
      <c r="W126" s="48">
        <f t="shared" si="15"/>
        <v>0</v>
      </c>
      <c r="Y126" s="52">
        <f t="shared" si="16"/>
        <v>0</v>
      </c>
      <c r="Z126" s="48">
        <f t="shared" si="16"/>
        <v>0</v>
      </c>
      <c r="AB126" s="52">
        <f t="shared" si="17"/>
        <v>0</v>
      </c>
      <c r="AC126" s="48">
        <f t="shared" si="17"/>
        <v>0</v>
      </c>
      <c r="AE126" s="52">
        <f>IF(AE118=1,AE112,0)</f>
        <v>0</v>
      </c>
    </row>
    <row r="127" spans="1:48" s="48" customFormat="1" ht="12.75" hidden="1" customHeight="1" x14ac:dyDescent="0.25">
      <c r="A127" s="48" t="s">
        <v>71</v>
      </c>
      <c r="B127" s="48">
        <f>IF(B119=1,B113,0)</f>
        <v>0</v>
      </c>
      <c r="D127" s="52">
        <f t="shared" si="9"/>
        <v>0</v>
      </c>
      <c r="E127" s="48">
        <f t="shared" si="9"/>
        <v>0</v>
      </c>
      <c r="G127" s="52">
        <f t="shared" si="10"/>
        <v>0</v>
      </c>
      <c r="H127" s="48">
        <f t="shared" si="10"/>
        <v>0</v>
      </c>
      <c r="J127" s="52">
        <f t="shared" si="11"/>
        <v>0</v>
      </c>
      <c r="K127" s="48">
        <f t="shared" si="11"/>
        <v>0</v>
      </c>
      <c r="M127" s="52">
        <f t="shared" si="12"/>
        <v>0</v>
      </c>
      <c r="N127" s="48">
        <f t="shared" si="12"/>
        <v>0</v>
      </c>
      <c r="P127" s="52">
        <f t="shared" si="13"/>
        <v>0</v>
      </c>
      <c r="Q127" s="48">
        <f t="shared" si="13"/>
        <v>0</v>
      </c>
      <c r="S127" s="52">
        <f t="shared" si="14"/>
        <v>0</v>
      </c>
      <c r="T127" s="48">
        <f t="shared" si="14"/>
        <v>0</v>
      </c>
      <c r="V127" s="52">
        <f t="shared" si="15"/>
        <v>0</v>
      </c>
      <c r="W127" s="48">
        <f t="shared" si="15"/>
        <v>0</v>
      </c>
      <c r="Y127" s="52">
        <f t="shared" si="16"/>
        <v>0</v>
      </c>
      <c r="Z127" s="48">
        <f t="shared" si="16"/>
        <v>0</v>
      </c>
      <c r="AB127" s="52">
        <f t="shared" si="17"/>
        <v>0</v>
      </c>
      <c r="AC127" s="48">
        <f t="shared" si="17"/>
        <v>0</v>
      </c>
      <c r="AE127" s="52">
        <f>IF(AE119=1,AE113,0)</f>
        <v>0</v>
      </c>
    </row>
    <row r="128" spans="1:48" s="48" customFormat="1" ht="12.75" hidden="1" customHeight="1" x14ac:dyDescent="0.25">
      <c r="A128" s="48" t="s">
        <v>72</v>
      </c>
      <c r="B128" s="48">
        <f>IF(B120=1,B114,0)</f>
        <v>0</v>
      </c>
      <c r="D128" s="52">
        <f t="shared" si="9"/>
        <v>0</v>
      </c>
      <c r="E128" s="48">
        <f t="shared" si="9"/>
        <v>0</v>
      </c>
      <c r="G128" s="52">
        <f t="shared" si="10"/>
        <v>0</v>
      </c>
      <c r="H128" s="48">
        <f t="shared" si="10"/>
        <v>0</v>
      </c>
      <c r="J128" s="52">
        <f t="shared" si="11"/>
        <v>0</v>
      </c>
      <c r="K128" s="48">
        <f t="shared" si="11"/>
        <v>0</v>
      </c>
      <c r="M128" s="52">
        <f t="shared" si="12"/>
        <v>0</v>
      </c>
      <c r="N128" s="48">
        <f t="shared" si="12"/>
        <v>0</v>
      </c>
      <c r="P128" s="52">
        <f t="shared" si="13"/>
        <v>0</v>
      </c>
      <c r="Q128" s="48">
        <f t="shared" si="13"/>
        <v>0</v>
      </c>
      <c r="S128" s="52">
        <f t="shared" si="14"/>
        <v>0</v>
      </c>
      <c r="T128" s="48">
        <f t="shared" si="14"/>
        <v>0</v>
      </c>
      <c r="V128" s="52">
        <f t="shared" si="15"/>
        <v>0</v>
      </c>
      <c r="W128" s="48">
        <f t="shared" si="15"/>
        <v>0</v>
      </c>
      <c r="Y128" s="52">
        <f t="shared" si="16"/>
        <v>0</v>
      </c>
      <c r="Z128" s="48">
        <f t="shared" si="16"/>
        <v>0</v>
      </c>
      <c r="AB128" s="52">
        <f t="shared" si="17"/>
        <v>0</v>
      </c>
      <c r="AC128" s="48">
        <f t="shared" si="17"/>
        <v>0</v>
      </c>
      <c r="AE128" s="52">
        <f>IF(AE120=1,AE114,0)</f>
        <v>0</v>
      </c>
    </row>
    <row r="129" spans="1:37" s="48" customFormat="1" ht="38.25" hidden="1" customHeight="1" x14ac:dyDescent="0.25">
      <c r="A129" s="51" t="s">
        <v>73</v>
      </c>
      <c r="B129" s="48">
        <f>SUM(B124:D128)</f>
        <v>28</v>
      </c>
      <c r="D129" s="52"/>
      <c r="E129" s="48">
        <f>SUM(E124:G128)</f>
        <v>27</v>
      </c>
      <c r="G129" s="52"/>
      <c r="H129" s="48">
        <f>SUM(H124:J128)</f>
        <v>30</v>
      </c>
      <c r="J129" s="52"/>
      <c r="K129" s="48">
        <f>SUM(K124:M128)</f>
        <v>27</v>
      </c>
      <c r="M129" s="52"/>
      <c r="N129" s="48">
        <f>SUM(N124:P128)</f>
        <v>28</v>
      </c>
      <c r="P129" s="52"/>
      <c r="Q129" s="48">
        <f>SUM(Q124:S128)</f>
        <v>30</v>
      </c>
      <c r="S129" s="52"/>
      <c r="T129" s="48">
        <f>SUM(T124:V128)</f>
        <v>0</v>
      </c>
      <c r="V129" s="52"/>
      <c r="W129" s="48">
        <f>SUM(W124:Y128)</f>
        <v>0</v>
      </c>
      <c r="Y129" s="52"/>
      <c r="Z129" s="48">
        <f>SUM(Z124:AB128)</f>
        <v>0</v>
      </c>
      <c r="AB129" s="52"/>
      <c r="AC129" s="48">
        <f>SUM(AC124:AE128)</f>
        <v>0</v>
      </c>
      <c r="AE129" s="52"/>
    </row>
    <row r="130" spans="1:37" s="48" customFormat="1" ht="38.25" hidden="1" customHeight="1" x14ac:dyDescent="0.25">
      <c r="A130" s="48" t="s">
        <v>74</v>
      </c>
      <c r="D130" s="52"/>
      <c r="G130" s="52"/>
      <c r="J130" s="52"/>
      <c r="M130" s="52"/>
      <c r="P130" s="52"/>
      <c r="S130" s="52"/>
      <c r="V130" s="52"/>
      <c r="Y130" s="52"/>
      <c r="AB130" s="52"/>
      <c r="AE130" s="52"/>
      <c r="AF130" s="51" t="s">
        <v>75</v>
      </c>
      <c r="AG130" s="48" t="s">
        <v>76</v>
      </c>
    </row>
    <row r="131" spans="1:37" s="48" customFormat="1" ht="12.75" hidden="1" customHeight="1" x14ac:dyDescent="0.25">
      <c r="A131" s="48" t="s">
        <v>77</v>
      </c>
      <c r="B131" s="48">
        <f>IF(B109=1,IF(B122=1,1,0),0)</f>
        <v>0</v>
      </c>
      <c r="D131" s="52">
        <f>IF(D109=1,IF(D122=1,1,0),0)</f>
        <v>0</v>
      </c>
      <c r="E131" s="48">
        <f>IF(E109=1,IF(E122=1,1,0),0)</f>
        <v>1</v>
      </c>
      <c r="G131" s="52">
        <f>IF(G109=1,IF(G122=1,1,0),0)</f>
        <v>0</v>
      </c>
      <c r="H131" s="48">
        <f>IF(H109=1,IF(H122=1,1,0),0)</f>
        <v>0</v>
      </c>
      <c r="J131" s="52">
        <f>IF(J109=1,IF(J122=1,1,0),0)</f>
        <v>0</v>
      </c>
      <c r="K131" s="48">
        <f>IF(K109=1,IF(K122=1,1,0),0)</f>
        <v>1</v>
      </c>
      <c r="M131" s="52">
        <f>IF(M109=1,IF(M122=1,1,0),0)</f>
        <v>0</v>
      </c>
      <c r="N131" s="48">
        <f>IF(N109=1,IF(N122=1,1,0),0)</f>
        <v>0</v>
      </c>
      <c r="P131" s="52">
        <f>IF(P109=1,IF(P122=1,1,0),0)</f>
        <v>0</v>
      </c>
      <c r="Q131" s="48">
        <f>IF(Q109=1,IF(Q122=1,1,0),0)</f>
        <v>0</v>
      </c>
      <c r="S131" s="52">
        <f>IF(S109=1,IF(S122=1,1,0),0)</f>
        <v>0</v>
      </c>
      <c r="T131" s="48">
        <f>IF(T109=1,IF(T122=1,1,0),0)</f>
        <v>0</v>
      </c>
      <c r="V131" s="52">
        <f>IF(V109=1,IF(V122=1,1,0),0)</f>
        <v>0</v>
      </c>
      <c r="W131" s="48">
        <f>IF(W109=1,IF(W122=1,1,0),0)</f>
        <v>0</v>
      </c>
      <c r="Y131" s="52">
        <f>IF(Y109=1,IF(Y122=1,1,0),0)</f>
        <v>0</v>
      </c>
      <c r="Z131" s="48">
        <f>IF(Z109=1,IF(Z122=1,1,0),0)</f>
        <v>0</v>
      </c>
      <c r="AB131" s="52">
        <f>IF(AB109=1,IF(AB122=1,1,0),0)</f>
        <v>0</v>
      </c>
      <c r="AC131" s="48">
        <f>IF(AC109=1,IF(AC122=1,1,0),0)</f>
        <v>0</v>
      </c>
      <c r="AE131" s="52">
        <f>IF(AE109=1,IF(AE122=1,1,0),0)</f>
        <v>0</v>
      </c>
      <c r="AF131" s="48">
        <f>SUM(B131:AE131)</f>
        <v>2</v>
      </c>
      <c r="AG131" s="48">
        <f>AF137-AF131</f>
        <v>1</v>
      </c>
    </row>
    <row r="132" spans="1:37" s="48" customFormat="1" ht="12.75" hidden="1" customHeight="1" x14ac:dyDescent="0.25">
      <c r="A132" s="48" t="s">
        <v>78</v>
      </c>
      <c r="B132" s="48">
        <f>IF(B109=2,IF(B122=1,1,0),0)</f>
        <v>0</v>
      </c>
      <c r="D132" s="52">
        <f>IF(D109=2,IF(D122=1,1,0),0)</f>
        <v>0</v>
      </c>
      <c r="E132" s="48">
        <f>IF(E109=2,IF(E122=1,1,0),0)</f>
        <v>0</v>
      </c>
      <c r="G132" s="52">
        <f>IF(G109=2,IF(G122=1,1,0),0)</f>
        <v>0</v>
      </c>
      <c r="H132" s="48">
        <f>IF(H109=2,IF(H122=1,1,0),0)</f>
        <v>1</v>
      </c>
      <c r="J132" s="52">
        <f>IF(J109=2,IF(J122=1,1,0),0)</f>
        <v>0</v>
      </c>
      <c r="K132" s="48">
        <f>IF(K109=2,IF(K122=1,1,0),0)</f>
        <v>0</v>
      </c>
      <c r="M132" s="52">
        <f>IF(M109=2,IF(M122=1,1,0),0)</f>
        <v>0</v>
      </c>
      <c r="N132" s="48">
        <f>IF(N109=2,IF(N122=1,1,0),0)</f>
        <v>0</v>
      </c>
      <c r="P132" s="52">
        <f>IF(P109=2,IF(P122=1,1,0),0)</f>
        <v>0</v>
      </c>
      <c r="Q132" s="48">
        <f>IF(Q109=2,IF(Q122=1,1,0),0)</f>
        <v>0</v>
      </c>
      <c r="S132" s="52">
        <f>IF(S109=2,IF(S122=1,1,0),0)</f>
        <v>1</v>
      </c>
      <c r="T132" s="48">
        <f>IF(T109=2,IF(T122=1,1,0),0)</f>
        <v>0</v>
      </c>
      <c r="V132" s="52">
        <f>IF(V109=2,IF(V122=1,1,0),0)</f>
        <v>0</v>
      </c>
      <c r="W132" s="48">
        <f>IF(W109=2,IF(W122=1,1,0),0)</f>
        <v>0</v>
      </c>
      <c r="Y132" s="52">
        <f>IF(Y109=2,IF(Y122=1,1,0),0)</f>
        <v>0</v>
      </c>
      <c r="Z132" s="48">
        <f>IF(Z109=2,IF(Z122=1,1,0),0)</f>
        <v>0</v>
      </c>
      <c r="AB132" s="52">
        <f>IF(AB109=2,IF(AB122=1,1,0),0)</f>
        <v>0</v>
      </c>
      <c r="AC132" s="48">
        <f>IF(AC109=2,IF(AC122=1,1,0),0)</f>
        <v>0</v>
      </c>
      <c r="AE132" s="52">
        <f>IF(AE109=2,IF(AE122=1,1,0),0)</f>
        <v>0</v>
      </c>
      <c r="AF132" s="48">
        <f>SUM(B132:AE132)</f>
        <v>2</v>
      </c>
      <c r="AG132" s="48">
        <f>AF138-AF132</f>
        <v>1</v>
      </c>
    </row>
    <row r="133" spans="1:37" s="48" customFormat="1" ht="12.75" hidden="1" customHeight="1" x14ac:dyDescent="0.25">
      <c r="A133" s="48" t="s">
        <v>79</v>
      </c>
      <c r="B133" s="48">
        <f>IF(B109=3,IF(B122=1,1,0),0)</f>
        <v>0</v>
      </c>
      <c r="D133" s="52">
        <f>IF(D109=3,IF(D122=1,1,0),0)</f>
        <v>1</v>
      </c>
      <c r="E133" s="48">
        <f>IF(E109=3,IF(E122=1,1,0),0)</f>
        <v>0</v>
      </c>
      <c r="G133" s="52">
        <f>IF(G109=3,IF(G122=1,1,0),0)</f>
        <v>0</v>
      </c>
      <c r="H133" s="48">
        <f>IF(H109=3,IF(H122=1,1,0),0)</f>
        <v>0</v>
      </c>
      <c r="J133" s="52">
        <f>IF(J109=3,IF(J122=1,1,0),0)</f>
        <v>0</v>
      </c>
      <c r="K133" s="48">
        <f>IF(K109=3,IF(K122=1,1,0),0)</f>
        <v>0</v>
      </c>
      <c r="M133" s="52">
        <f>IF(M109=3,IF(M122=1,1,0),0)</f>
        <v>0</v>
      </c>
      <c r="N133" s="48">
        <f>IF(N109=3,IF(N122=1,1,0),0)</f>
        <v>1</v>
      </c>
      <c r="P133" s="52">
        <f>IF(P109=3,IF(P122=1,1,0),0)</f>
        <v>0</v>
      </c>
      <c r="Q133" s="48">
        <f>IF(Q109=3,IF(Q122=1,1,0),0)</f>
        <v>0</v>
      </c>
      <c r="S133" s="52">
        <f>IF(S109=3,IF(S122=1,1,0),0)</f>
        <v>0</v>
      </c>
      <c r="T133" s="48">
        <f>IF(T109=3,IF(T122=1,1,0),0)</f>
        <v>0</v>
      </c>
      <c r="V133" s="52">
        <f>IF(V109=3,IF(V122=1,1,0),0)</f>
        <v>0</v>
      </c>
      <c r="W133" s="48">
        <f>IF(W109=3,IF(W122=1,1,0),0)</f>
        <v>0</v>
      </c>
      <c r="Y133" s="52">
        <f>IF(Y109=3,IF(Y122=1,1,0),0)</f>
        <v>0</v>
      </c>
      <c r="Z133" s="48">
        <f>IF(Z109=3,IF(Z122=1,1,0),0)</f>
        <v>0</v>
      </c>
      <c r="AB133" s="52">
        <f>IF(AB109=3,IF(AB122=1,1,0),0)</f>
        <v>0</v>
      </c>
      <c r="AC133" s="48">
        <f>IF(AC109=3,IF(AC122=1,1,0),0)</f>
        <v>0</v>
      </c>
      <c r="AE133" s="52">
        <f>IF(AE109=3,IF(AE122=1,1,0),0)</f>
        <v>0</v>
      </c>
      <c r="AF133" s="48">
        <f>SUM(B133:AE133)</f>
        <v>2</v>
      </c>
      <c r="AG133" s="48">
        <f>AF139-AF133</f>
        <v>1</v>
      </c>
    </row>
    <row r="134" spans="1:37" s="48" customFormat="1" ht="12.75" hidden="1" customHeight="1" x14ac:dyDescent="0.25">
      <c r="A134" s="48" t="s">
        <v>80</v>
      </c>
      <c r="B134" s="48">
        <f>IF(B109=4,IF(B122=1,1,0),0)</f>
        <v>0</v>
      </c>
      <c r="D134" s="52">
        <f>IF(D109=4,IF(D122=1,1,0),0)</f>
        <v>0</v>
      </c>
      <c r="E134" s="48">
        <f>IF(E109=4,IF(E122=1,1,0),0)</f>
        <v>0</v>
      </c>
      <c r="G134" s="52">
        <f>IF(G109=4,IF(G122=1,1,0),0)</f>
        <v>0</v>
      </c>
      <c r="H134" s="48">
        <f>IF(H109=4,IF(H122=1,1,0),0)</f>
        <v>0</v>
      </c>
      <c r="J134" s="52">
        <f>IF(J109=4,IF(J122=1,1,0),0)</f>
        <v>0</v>
      </c>
      <c r="K134" s="48">
        <f>IF(K109=4,IF(K122=1,1,0),0)</f>
        <v>0</v>
      </c>
      <c r="M134" s="52">
        <f>IF(M109=4,IF(M122=1,1,0),0)</f>
        <v>0</v>
      </c>
      <c r="N134" s="48">
        <f>IF(N109=4,IF(N122=1,1,0),0)</f>
        <v>0</v>
      </c>
      <c r="P134" s="52">
        <f>IF(P109=4,IF(P122=1,1,0),0)</f>
        <v>0</v>
      </c>
      <c r="Q134" s="48">
        <f>IF(Q109=4,IF(Q122=1,1,0),0)</f>
        <v>0</v>
      </c>
      <c r="S134" s="52">
        <f>IF(S109=4,IF(S122=1,1,0),0)</f>
        <v>0</v>
      </c>
      <c r="T134" s="48">
        <f>IF(T109=4,IF(T122=1,1,0),0)</f>
        <v>0</v>
      </c>
      <c r="V134" s="52">
        <f>IF(V109=4,IF(V122=1,1,0),0)</f>
        <v>0</v>
      </c>
      <c r="W134" s="48">
        <f>IF(W109=4,IF(W122=1,1,0),0)</f>
        <v>0</v>
      </c>
      <c r="Y134" s="52">
        <f>IF(Y109=4,IF(Y122=1,1,0),0)</f>
        <v>0</v>
      </c>
      <c r="Z134" s="48">
        <f>IF(Z109=4,IF(Z122=1,1,0),0)</f>
        <v>0</v>
      </c>
      <c r="AB134" s="52">
        <f>IF(AB109=4,IF(AB122=1,1,0),0)</f>
        <v>0</v>
      </c>
      <c r="AC134" s="48">
        <f>IF(AC109=4,IF(AC122=1,1,0),0)</f>
        <v>0</v>
      </c>
      <c r="AE134" s="52">
        <f>IF(AE109=4,IF(AE122=1,1,0),0)</f>
        <v>0</v>
      </c>
      <c r="AF134" s="48">
        <f>SUM(B134:AE134)</f>
        <v>0</v>
      </c>
      <c r="AG134" s="48">
        <f>AF140-AF134</f>
        <v>3</v>
      </c>
    </row>
    <row r="135" spans="1:37" s="48" customFormat="1" ht="12.75" hidden="1" customHeight="1" x14ac:dyDescent="0.25">
      <c r="A135" s="48" t="s">
        <v>81</v>
      </c>
      <c r="B135" s="48">
        <f>IF(B109=5,IF(B122=1,1,0),0)</f>
        <v>0</v>
      </c>
      <c r="D135" s="52">
        <f>IF(D109=5,IF(D122=1,1,0),0)</f>
        <v>0</v>
      </c>
      <c r="E135" s="48">
        <f>IF(E109=5,IF(E122=1,1,0),0)</f>
        <v>0</v>
      </c>
      <c r="G135" s="52">
        <f>IF(G109=5,IF(G122=1,1,0),0)</f>
        <v>0</v>
      </c>
      <c r="H135" s="48">
        <f>IF(H109=5,IF(H122=1,1,0),0)</f>
        <v>0</v>
      </c>
      <c r="J135" s="52">
        <f>IF(J109=5,IF(J122=1,1,0),0)</f>
        <v>0</v>
      </c>
      <c r="K135" s="48">
        <f>IF(K109=5,IF(K122=1,1,0),0)</f>
        <v>0</v>
      </c>
      <c r="M135" s="52">
        <f>IF(M109=5,IF(M122=1,1,0),0)</f>
        <v>0</v>
      </c>
      <c r="N135" s="48">
        <f>IF(N109=5,IF(N122=1,1,0),0)</f>
        <v>0</v>
      </c>
      <c r="P135" s="52">
        <f>IF(P109=5,IF(P122=1,1,0),0)</f>
        <v>0</v>
      </c>
      <c r="Q135" s="48">
        <f>IF(Q109=5,IF(Q122=1,1,0),0)</f>
        <v>0</v>
      </c>
      <c r="S135" s="52">
        <f>IF(S109=5,IF(S122=1,1,0),0)</f>
        <v>0</v>
      </c>
      <c r="T135" s="48">
        <f>IF(T109=5,IF(T122=1,1,0),0)</f>
        <v>0</v>
      </c>
      <c r="V135" s="52">
        <f>IF(V109=5,IF(V122=1,1,0),0)</f>
        <v>0</v>
      </c>
      <c r="W135" s="48">
        <f>IF(W109=5,IF(W122=1,1,0),0)</f>
        <v>0</v>
      </c>
      <c r="Y135" s="52">
        <f>IF(Y109=5,IF(Y122=1,1,0),0)</f>
        <v>0</v>
      </c>
      <c r="Z135" s="48">
        <f>IF(Z109=5,IF(Z122=1,1,0),0)</f>
        <v>0</v>
      </c>
      <c r="AB135" s="52">
        <f>IF(AB109=5,IF(AB122=1,1,0),0)</f>
        <v>0</v>
      </c>
      <c r="AC135" s="48">
        <f>IF(AC109=5,IF(AC122=1,1,0),0)</f>
        <v>0</v>
      </c>
      <c r="AE135" s="52">
        <f>IF(AE109=5,IF(AE122=1,1,0),0)</f>
        <v>0</v>
      </c>
      <c r="AF135" s="48">
        <f>SUM(B135:AE135)</f>
        <v>0</v>
      </c>
      <c r="AG135" s="48">
        <f>AF141-AF135</f>
        <v>0</v>
      </c>
    </row>
    <row r="136" spans="1:37" s="48" customFormat="1" ht="38.25" hidden="1" customHeight="1" x14ac:dyDescent="0.25">
      <c r="A136" s="51"/>
      <c r="D136" s="52"/>
      <c r="G136" s="52"/>
      <c r="J136" s="52"/>
      <c r="M136" s="52"/>
      <c r="P136" s="52"/>
      <c r="S136" s="52"/>
      <c r="V136" s="52"/>
      <c r="Y136" s="52"/>
      <c r="AB136" s="52"/>
      <c r="AE136" s="52"/>
      <c r="AF136" s="51" t="s">
        <v>82</v>
      </c>
    </row>
    <row r="137" spans="1:37" s="48" customFormat="1" ht="12.75" hidden="1" customHeight="1" x14ac:dyDescent="0.25">
      <c r="A137" s="48" t="s">
        <v>83</v>
      </c>
      <c r="B137" s="48">
        <f>IF(B109=1,IF(C122=1,1,0),0)</f>
        <v>0</v>
      </c>
      <c r="D137" s="52">
        <f>IF(D109=1,IF(C122=1,1,0),0)</f>
        <v>0</v>
      </c>
      <c r="E137" s="48">
        <f>IF(E109=1,IF(F122=1,1,0),0)</f>
        <v>1</v>
      </c>
      <c r="G137" s="52">
        <f>IF(G109=1,IF(F122=1,1,0),0)</f>
        <v>0</v>
      </c>
      <c r="H137" s="48">
        <f>IF(H109=1,IF(I122=1,1,0),0)</f>
        <v>0</v>
      </c>
      <c r="J137" s="52">
        <f>IF(J109=1,IF(I122=1,1,0),0)</f>
        <v>0</v>
      </c>
      <c r="K137" s="48">
        <f>IF(K109=1,IF(L122=1,1,0),0)</f>
        <v>1</v>
      </c>
      <c r="M137" s="52">
        <f>IF(M109=1,IF(L122=1,1,0),0)</f>
        <v>0</v>
      </c>
      <c r="N137" s="48">
        <f>IF(N109=1,IF(O122=1,1,0),0)</f>
        <v>0</v>
      </c>
      <c r="P137" s="52">
        <f>IF(P109=1,IF(O122=1,1,0),0)</f>
        <v>0</v>
      </c>
      <c r="Q137" s="48">
        <f>IF(Q109=1,IF(R122=1,1,0),0)</f>
        <v>1</v>
      </c>
      <c r="S137" s="52">
        <f>IF(S109=1,IF(R122=1,1,0),0)</f>
        <v>0</v>
      </c>
      <c r="T137" s="48">
        <f>IF(T109=1,IF(U122=1,1,0),0)</f>
        <v>0</v>
      </c>
      <c r="V137" s="52">
        <f>IF(V109=1,IF(U122=1,1,0),0)</f>
        <v>0</v>
      </c>
      <c r="W137" s="48">
        <f>IF(W109=1,IF(X122=1,1,0),0)</f>
        <v>0</v>
      </c>
      <c r="Y137" s="52">
        <f>IF(Y109=1,IF(X122=1,1,0),0)</f>
        <v>0</v>
      </c>
      <c r="Z137" s="48">
        <f>IF(Z109=1,IF(AA122=1,1,0),0)</f>
        <v>0</v>
      </c>
      <c r="AB137" s="52">
        <f>IF(AB109=1,IF(AA122=1,1,0),0)</f>
        <v>0</v>
      </c>
      <c r="AC137" s="48">
        <f>IF(AC109=1,IF(AD122=1,1,0),0)</f>
        <v>0</v>
      </c>
      <c r="AE137" s="52">
        <f>IF(AE109=1,IF(AD122=1,1,0),0)</f>
        <v>0</v>
      </c>
      <c r="AF137" s="48">
        <f>SUM(B137:AE137)</f>
        <v>3</v>
      </c>
    </row>
    <row r="138" spans="1:37" s="48" customFormat="1" ht="12.75" hidden="1" customHeight="1" x14ac:dyDescent="0.25">
      <c r="A138" s="48" t="s">
        <v>84</v>
      </c>
      <c r="B138" s="48">
        <f>IF(B109=2,IF(C122=1,1,0),0)</f>
        <v>1</v>
      </c>
      <c r="D138" s="52">
        <f>IF(D109=2,IF(C122=1,1,0),0)</f>
        <v>0</v>
      </c>
      <c r="E138" s="48">
        <f>IF(E109=2,IF(F122=1,1,0),0)</f>
        <v>0</v>
      </c>
      <c r="G138" s="52">
        <f>IF(G109=2,IF(F122=1,1,0),0)</f>
        <v>0</v>
      </c>
      <c r="H138" s="48">
        <f>IF(H109=2,IF(I122=1,1,0),0)</f>
        <v>1</v>
      </c>
      <c r="J138" s="52">
        <f>IF(J109=2,IF(I122=1,1,0),0)</f>
        <v>0</v>
      </c>
      <c r="K138" s="48">
        <f>IF(K109=2,IF(L122=1,1,0),0)</f>
        <v>0</v>
      </c>
      <c r="M138" s="52">
        <f>IF(M109=2,IF(L122=1,1,0),0)</f>
        <v>0</v>
      </c>
      <c r="N138" s="48">
        <f>IF(N109=2,IF(O122=1,1,0),0)</f>
        <v>0</v>
      </c>
      <c r="P138" s="52">
        <f>IF(P109=2,IF(O122=1,1,0),0)</f>
        <v>0</v>
      </c>
      <c r="Q138" s="48">
        <f>IF(Q109=2,IF(R122=1,1,0),0)</f>
        <v>0</v>
      </c>
      <c r="S138" s="52">
        <f>IF(S109=2,IF(R122=1,1,0),0)</f>
        <v>1</v>
      </c>
      <c r="T138" s="48">
        <f>IF(T109=2,IF(U122=1,1,0),0)</f>
        <v>0</v>
      </c>
      <c r="V138" s="52">
        <f>IF(V109=2,IF(U122=1,1,0),0)</f>
        <v>0</v>
      </c>
      <c r="W138" s="48">
        <f>IF(W109=2,IF(X122=1,1,0),0)</f>
        <v>0</v>
      </c>
      <c r="Y138" s="52">
        <f>IF(Y109=2,IF(X122=1,1,0),0)</f>
        <v>0</v>
      </c>
      <c r="Z138" s="48">
        <f>IF(Z109=2,IF(AA122=1,1,0),0)</f>
        <v>0</v>
      </c>
      <c r="AB138" s="52">
        <f>IF(AB109=2,IF(AA122=1,1,0),0)</f>
        <v>0</v>
      </c>
      <c r="AC138" s="48">
        <f>IF(AC109=2,IF(AD122=1,1,0),0)</f>
        <v>0</v>
      </c>
      <c r="AE138" s="52">
        <f>IF(AE109=2,IF(AD122=1,1,0),0)</f>
        <v>0</v>
      </c>
      <c r="AF138" s="48">
        <f>SUM(B138:AE138)</f>
        <v>3</v>
      </c>
    </row>
    <row r="139" spans="1:37" s="48" customFormat="1" ht="12.75" hidden="1" customHeight="1" x14ac:dyDescent="0.25">
      <c r="A139" s="48" t="s">
        <v>85</v>
      </c>
      <c r="B139" s="48">
        <f>IF(B109=3,IF(C122=1,1,0),0)</f>
        <v>0</v>
      </c>
      <c r="D139" s="52">
        <f>IF(D109=3,IF(C122=1,1,0),0)</f>
        <v>1</v>
      </c>
      <c r="E139" s="48">
        <f>IF(E109=3,IF(F122=1,1,0),0)</f>
        <v>0</v>
      </c>
      <c r="G139" s="52">
        <f>IF(G109=3,IF(F122=1,1,0),0)</f>
        <v>0</v>
      </c>
      <c r="H139" s="48">
        <f>IF(H109=3,IF(I122=1,1,0),0)</f>
        <v>0</v>
      </c>
      <c r="J139" s="52">
        <f>IF(J109=3,IF(I122=1,1,0),0)</f>
        <v>0</v>
      </c>
      <c r="K139" s="48">
        <f>IF(K109=3,IF(L122=1,1,0),0)</f>
        <v>0</v>
      </c>
      <c r="M139" s="52">
        <f>IF(M109=3,IF(L122=1,1,0),0)</f>
        <v>1</v>
      </c>
      <c r="N139" s="48">
        <f>IF(N109=3,IF(O122=1,1,0),0)</f>
        <v>1</v>
      </c>
      <c r="P139" s="52">
        <f>IF(P109=3,IF(O122=1,1,0),0)</f>
        <v>0</v>
      </c>
      <c r="Q139" s="48">
        <f>IF(Q109=3,IF(R122=1,1,0),0)</f>
        <v>0</v>
      </c>
      <c r="S139" s="52">
        <f>IF(S109=3,IF(R122=1,1,0),0)</f>
        <v>0</v>
      </c>
      <c r="T139" s="48">
        <f>IF(T109=3,IF(U122=1,1,0),0)</f>
        <v>0</v>
      </c>
      <c r="V139" s="52">
        <f>IF(V109=3,IF(U122=1,1,0),0)</f>
        <v>0</v>
      </c>
      <c r="W139" s="48">
        <f>IF(W109=3,IF(X122=1,1,0),0)</f>
        <v>0</v>
      </c>
      <c r="Y139" s="52">
        <f>IF(Y109=3,IF(X122=1,1,0),0)</f>
        <v>0</v>
      </c>
      <c r="Z139" s="48">
        <f>IF(Z109=3,IF(AA122=1,1,0),0)</f>
        <v>0</v>
      </c>
      <c r="AB139" s="52">
        <f>IF(AB109=3,IF(AA122=1,1,0),0)</f>
        <v>0</v>
      </c>
      <c r="AC139" s="48">
        <f>IF(AC109=3,IF(AD122=1,1,0),0)</f>
        <v>0</v>
      </c>
      <c r="AE139" s="52">
        <f>IF(AE109=3,IF(AD122=1,1,0),0)</f>
        <v>0</v>
      </c>
      <c r="AF139" s="48">
        <f>SUM(B139:AE139)</f>
        <v>3</v>
      </c>
    </row>
    <row r="140" spans="1:37" s="48" customFormat="1" ht="12.75" hidden="1" customHeight="1" x14ac:dyDescent="0.25">
      <c r="A140" s="48" t="s">
        <v>86</v>
      </c>
      <c r="B140" s="48">
        <f>IF(B109=4,IF(C122=1,1,0),0)</f>
        <v>0</v>
      </c>
      <c r="D140" s="52">
        <f>IF(D109=4,IF(C122=1,1,0),0)</f>
        <v>0</v>
      </c>
      <c r="E140" s="48">
        <f>IF(E109=4,IF(F122=1,1,0),0)</f>
        <v>0</v>
      </c>
      <c r="G140" s="52">
        <f>IF(G109=4,IF(F122=1,1,0),0)</f>
        <v>1</v>
      </c>
      <c r="H140" s="48">
        <f>IF(H109=4,IF(I122=1,1,0),0)</f>
        <v>0</v>
      </c>
      <c r="J140" s="52">
        <f>IF(J109=4,IF(I122=1,1,0),0)</f>
        <v>1</v>
      </c>
      <c r="K140" s="48">
        <f>IF(K109=4,IF(L122=1,1,0),0)</f>
        <v>0</v>
      </c>
      <c r="M140" s="52">
        <f>IF(M109=4,IF(L122=1,1,0),0)</f>
        <v>0</v>
      </c>
      <c r="N140" s="48">
        <f>IF(N109=4,IF(O122=1,1,0),0)</f>
        <v>0</v>
      </c>
      <c r="P140" s="52">
        <f>IF(P109=4,IF(O122=1,1,0),0)</f>
        <v>1</v>
      </c>
      <c r="Q140" s="48">
        <f>IF(Q109=4,IF(R122=1,1,0),0)</f>
        <v>0</v>
      </c>
      <c r="S140" s="52">
        <f>IF(S109=4,IF(R122=1,1,0),0)</f>
        <v>0</v>
      </c>
      <c r="T140" s="48">
        <f>IF(T109=4,IF(U122=1,1,0),0)</f>
        <v>0</v>
      </c>
      <c r="V140" s="52">
        <f>IF(V109=4,IF(U122=1,1,0),0)</f>
        <v>0</v>
      </c>
      <c r="W140" s="48">
        <f>IF(W109=4,IF(X122=1,1,0),0)</f>
        <v>0</v>
      </c>
      <c r="Y140" s="52">
        <f>IF(Y109=4,IF(X122=1,1,0),0)</f>
        <v>0</v>
      </c>
      <c r="Z140" s="48">
        <f>IF(Z109=4,IF(AA122=1,1,0),0)</f>
        <v>0</v>
      </c>
      <c r="AB140" s="52">
        <f>IF(AB109=4,IF(AA122=1,1,0),0)</f>
        <v>0</v>
      </c>
      <c r="AC140" s="48">
        <f>IF(AC109=4,IF(AD122=1,1,0),0)</f>
        <v>0</v>
      </c>
      <c r="AE140" s="52">
        <f>IF(AE109=4,IF(AD122=1,1,0),0)</f>
        <v>0</v>
      </c>
      <c r="AF140" s="48">
        <f>SUM(B140:AE140)</f>
        <v>3</v>
      </c>
    </row>
    <row r="141" spans="1:37" s="48" customFormat="1" ht="12.75" hidden="1" customHeight="1" x14ac:dyDescent="0.25">
      <c r="A141" s="48" t="s">
        <v>87</v>
      </c>
      <c r="B141" s="48">
        <f>IF(B109=5,IF(C122=1,1,0),0)</f>
        <v>0</v>
      </c>
      <c r="D141" s="52">
        <f>IF(D109=5,IF(C122=1,1,0),0)</f>
        <v>0</v>
      </c>
      <c r="E141" s="48">
        <f>IF(E109=5,IF(F122=1,1,0),0)</f>
        <v>0</v>
      </c>
      <c r="G141" s="52">
        <f>IF(G109=5,IF(F122=1,1,0),0)</f>
        <v>0</v>
      </c>
      <c r="H141" s="48">
        <f>IF(H109=5,IF(I122=1,1,0),0)</f>
        <v>0</v>
      </c>
      <c r="J141" s="52">
        <f>IF(J109=5,IF(I122=1,1,0),0)</f>
        <v>0</v>
      </c>
      <c r="K141" s="48">
        <f>IF(K109=5,IF(L122=1,1,0),0)</f>
        <v>0</v>
      </c>
      <c r="M141" s="52">
        <f>IF(M109=5,IF(L122=1,1,0),0)</f>
        <v>0</v>
      </c>
      <c r="N141" s="48">
        <f>IF(N109=5,IF(O122=1,1,0),0)</f>
        <v>0</v>
      </c>
      <c r="P141" s="52">
        <f>IF(P109=5,IF(O122=1,1,0),0)</f>
        <v>0</v>
      </c>
      <c r="Q141" s="48">
        <f>IF(Q109=5,IF(R122=1,1,0),0)</f>
        <v>0</v>
      </c>
      <c r="S141" s="52">
        <f>IF(S109=5,IF(R122=1,1,0),0)</f>
        <v>0</v>
      </c>
      <c r="T141" s="48">
        <f>IF(T109=5,IF(U122=1,1,0),0)</f>
        <v>0</v>
      </c>
      <c r="V141" s="52">
        <f>IF(V109=5,IF(U122=1,1,0),0)</f>
        <v>0</v>
      </c>
      <c r="W141" s="48">
        <f>IF(W109=5,IF(X122=1,1,0),0)</f>
        <v>0</v>
      </c>
      <c r="Y141" s="52">
        <f>IF(Y109=5,IF(X122=1,1,0),0)</f>
        <v>0</v>
      </c>
      <c r="Z141" s="48">
        <f>IF(Z109=5,IF(AA122=1,1,0),0)</f>
        <v>0</v>
      </c>
      <c r="AB141" s="52">
        <f>IF(AB109=5,IF(AA122=1,1,0),0)</f>
        <v>0</v>
      </c>
      <c r="AC141" s="48">
        <f>IF(AC109=5,IF(AD122=1,1,0),0)</f>
        <v>0</v>
      </c>
      <c r="AE141" s="52">
        <f>IF(AE109=5,IF(AD122=1,1,0),0)</f>
        <v>0</v>
      </c>
      <c r="AF141" s="48">
        <f>SUM(B141:AE141)</f>
        <v>0</v>
      </c>
    </row>
    <row r="142" spans="1:37" s="48" customFormat="1" ht="38.25" hidden="1" customHeight="1" x14ac:dyDescent="0.25">
      <c r="A142" s="51"/>
      <c r="D142" s="52"/>
      <c r="G142" s="52"/>
      <c r="J142" s="52"/>
      <c r="M142" s="52"/>
      <c r="P142" s="52"/>
      <c r="S142" s="52"/>
      <c r="V142" s="52"/>
      <c r="Y142" s="52"/>
      <c r="AB142" s="52"/>
      <c r="AE142" s="52"/>
      <c r="AF142" s="51" t="s">
        <v>88</v>
      </c>
      <c r="AG142" s="150"/>
      <c r="AH142" s="150"/>
      <c r="AI142" s="150"/>
      <c r="AJ142" s="150"/>
      <c r="AK142" s="150"/>
    </row>
    <row r="143" spans="1:37" s="48" customFormat="1" ht="12.75" hidden="1" customHeight="1" x14ac:dyDescent="0.25">
      <c r="A143" s="48" t="s">
        <v>83</v>
      </c>
      <c r="B143" s="48">
        <f>IF(B109=1,B129,0)</f>
        <v>0</v>
      </c>
      <c r="D143" s="52">
        <f>IF(D109=1,B129,0)</f>
        <v>0</v>
      </c>
      <c r="E143" s="48">
        <f>IF(E109=1,E129,0)</f>
        <v>27</v>
      </c>
      <c r="G143" s="52">
        <f>IF(G109=1,E129,0)</f>
        <v>0</v>
      </c>
      <c r="H143" s="48">
        <f>IF(H109=1,H129,0)</f>
        <v>0</v>
      </c>
      <c r="J143" s="52">
        <f>IF(J109=1,H129,0)</f>
        <v>0</v>
      </c>
      <c r="K143" s="48">
        <f>IF(K109=1,K129,0)</f>
        <v>27</v>
      </c>
      <c r="M143" s="52">
        <f>IF(M109=1,K129,0)</f>
        <v>0</v>
      </c>
      <c r="N143" s="48">
        <f>IF(N109=1,N129,0)</f>
        <v>0</v>
      </c>
      <c r="P143" s="52">
        <f>IF(P109=1,N129,0)</f>
        <v>0</v>
      </c>
      <c r="Q143" s="48">
        <f>IF(Q109=1,Q129,0)</f>
        <v>30</v>
      </c>
      <c r="S143" s="52">
        <f>IF(S109=1,Q129,0)</f>
        <v>0</v>
      </c>
      <c r="T143" s="48">
        <f>IF(T109=1,T129,0)</f>
        <v>0</v>
      </c>
      <c r="V143" s="52">
        <f>IF(V109=1,T129,0)</f>
        <v>0</v>
      </c>
      <c r="W143" s="48">
        <f>IF(W109=1,W129,0)</f>
        <v>0</v>
      </c>
      <c r="Y143" s="52">
        <f>IF(Y109=1,W129,0)</f>
        <v>0</v>
      </c>
      <c r="Z143" s="48">
        <f>IF(Z109=1,Z129,0)</f>
        <v>0</v>
      </c>
      <c r="AB143" s="52">
        <f>IF(AB109=1,Z129,0)</f>
        <v>0</v>
      </c>
      <c r="AC143" s="48">
        <f>IF(AC109=1,AC129,0)</f>
        <v>0</v>
      </c>
      <c r="AE143" s="52">
        <f>IF(AE109=1,AC129,0)</f>
        <v>0</v>
      </c>
      <c r="AF143" s="48">
        <f>SUM(B143:AE143)</f>
        <v>84</v>
      </c>
    </row>
    <row r="144" spans="1:37" s="48" customFormat="1" ht="12.75" hidden="1" customHeight="1" x14ac:dyDescent="0.25">
      <c r="A144" s="48" t="s">
        <v>84</v>
      </c>
      <c r="B144" s="48">
        <f>IF(B109=2,B129,0)</f>
        <v>28</v>
      </c>
      <c r="D144" s="52">
        <f>IF(D109=2,B129,0)</f>
        <v>0</v>
      </c>
      <c r="E144" s="48">
        <f>IF(E109=2,E129,0)</f>
        <v>0</v>
      </c>
      <c r="G144" s="52">
        <f>IF(G109=2,E129,0)</f>
        <v>0</v>
      </c>
      <c r="H144" s="48">
        <f>IF(H109=2,H129,0)</f>
        <v>30</v>
      </c>
      <c r="J144" s="52">
        <f>IF(J109=2,H129,0)</f>
        <v>0</v>
      </c>
      <c r="K144" s="48">
        <f>IF(K109=2,K129,0)</f>
        <v>0</v>
      </c>
      <c r="M144" s="52">
        <f>IF(M109=2,K129,0)</f>
        <v>0</v>
      </c>
      <c r="N144" s="48">
        <f>IF(N109=2,N129,0)</f>
        <v>0</v>
      </c>
      <c r="P144" s="52">
        <f>IF(P109=2,N129,0)</f>
        <v>0</v>
      </c>
      <c r="Q144" s="48">
        <f>IF(Q109=2,Q129,0)</f>
        <v>0</v>
      </c>
      <c r="S144" s="52">
        <f>IF(S109=2,Q129,0)</f>
        <v>30</v>
      </c>
      <c r="T144" s="48">
        <f>IF(T109=2,T129,0)</f>
        <v>0</v>
      </c>
      <c r="V144" s="52">
        <f>IF(V109=2,T129,0)</f>
        <v>0</v>
      </c>
      <c r="W144" s="48">
        <f>IF(W109=2,W129,0)</f>
        <v>0</v>
      </c>
      <c r="Y144" s="52">
        <f>IF(Y109=2,W129,0)</f>
        <v>0</v>
      </c>
      <c r="Z144" s="48">
        <f>IF(Z109=2,Z129,0)</f>
        <v>0</v>
      </c>
      <c r="AB144" s="52">
        <f>IF(AB109=2,Z129,0)</f>
        <v>0</v>
      </c>
      <c r="AC144" s="48">
        <f>IF(AC109=2,AC129,0)</f>
        <v>0</v>
      </c>
      <c r="AE144" s="52">
        <f>IF(AE109=2,AC129,0)</f>
        <v>0</v>
      </c>
      <c r="AF144" s="48">
        <f>SUM(B144:AE144)</f>
        <v>88</v>
      </c>
    </row>
    <row r="145" spans="1:33" s="48" customFormat="1" ht="12.75" hidden="1" customHeight="1" x14ac:dyDescent="0.25">
      <c r="A145" s="48" t="s">
        <v>85</v>
      </c>
      <c r="B145" s="48">
        <f>IF(B109=3,B129,0)</f>
        <v>0</v>
      </c>
      <c r="D145" s="52">
        <f>IF(D109=3,B129,0)</f>
        <v>28</v>
      </c>
      <c r="E145" s="48">
        <f>IF(E109=3,E129,0)</f>
        <v>0</v>
      </c>
      <c r="G145" s="52">
        <f>IF(G109=3,E129,0)</f>
        <v>0</v>
      </c>
      <c r="H145" s="48">
        <f>IF(H109=3,H129,0)</f>
        <v>0</v>
      </c>
      <c r="J145" s="52">
        <f>IF(J109=3,H129,0)</f>
        <v>0</v>
      </c>
      <c r="K145" s="48">
        <f>IF(K109=3,K129,0)</f>
        <v>0</v>
      </c>
      <c r="M145" s="52">
        <f>IF(M109=3,K129,0)</f>
        <v>27</v>
      </c>
      <c r="N145" s="48">
        <f>IF(N109=3,N129,0)</f>
        <v>28</v>
      </c>
      <c r="P145" s="52">
        <f>IF(P109=3,N129,0)</f>
        <v>0</v>
      </c>
      <c r="Q145" s="48">
        <f>IF(Q109=3,Q129,0)</f>
        <v>0</v>
      </c>
      <c r="S145" s="52">
        <f>IF(S109=3,Q129,0)</f>
        <v>0</v>
      </c>
      <c r="T145" s="48">
        <f>IF(T109=3,T129,0)</f>
        <v>0</v>
      </c>
      <c r="V145" s="52">
        <f>IF(V109=3,T129,0)</f>
        <v>0</v>
      </c>
      <c r="W145" s="48">
        <f>IF(W109=3,W129,0)</f>
        <v>0</v>
      </c>
      <c r="Y145" s="52">
        <f>IF(Y109=3,W129,0)</f>
        <v>0</v>
      </c>
      <c r="Z145" s="48">
        <f>IF(Z109=3,Z129,0)</f>
        <v>0</v>
      </c>
      <c r="AB145" s="52">
        <f>IF(AB109=3,Z129,0)</f>
        <v>0</v>
      </c>
      <c r="AC145" s="48">
        <f>IF(AC109=3,AC129,0)</f>
        <v>0</v>
      </c>
      <c r="AE145" s="52">
        <f>IF(AE109=3,AC129,0)</f>
        <v>0</v>
      </c>
      <c r="AF145" s="48">
        <f>SUM(B145:AE145)</f>
        <v>83</v>
      </c>
    </row>
    <row r="146" spans="1:33" s="48" customFormat="1" ht="12.75" hidden="1" customHeight="1" x14ac:dyDescent="0.25">
      <c r="A146" s="48" t="s">
        <v>86</v>
      </c>
      <c r="B146" s="48">
        <f>IF(B109=4,B129,0)</f>
        <v>0</v>
      </c>
      <c r="D146" s="52">
        <f>IF(D109=4,B129,0)</f>
        <v>0</v>
      </c>
      <c r="E146" s="48">
        <f>IF(E109=4,E129,0)</f>
        <v>0</v>
      </c>
      <c r="G146" s="52">
        <f>IF(G109=4,E129,0)</f>
        <v>27</v>
      </c>
      <c r="H146" s="48">
        <f>IF(H109=4,H129,0)</f>
        <v>0</v>
      </c>
      <c r="J146" s="52">
        <f>IF(J109=4,H129,0)</f>
        <v>30</v>
      </c>
      <c r="K146" s="48">
        <f>IF(K109=4,K129,0)</f>
        <v>0</v>
      </c>
      <c r="M146" s="52">
        <f>IF(M109=4,K129,0)</f>
        <v>0</v>
      </c>
      <c r="N146" s="48">
        <f>IF(N109=4,N129,0)</f>
        <v>0</v>
      </c>
      <c r="P146" s="52">
        <f>IF(P109=4,N129,0)</f>
        <v>28</v>
      </c>
      <c r="Q146" s="48">
        <f>IF(Q109=4,Q129,0)</f>
        <v>0</v>
      </c>
      <c r="S146" s="52">
        <f>IF(S109=4,Q129,0)</f>
        <v>0</v>
      </c>
      <c r="T146" s="48">
        <f>IF(T109=4,T129,0)</f>
        <v>0</v>
      </c>
      <c r="V146" s="52">
        <f>IF(V109=4,T129,0)</f>
        <v>0</v>
      </c>
      <c r="W146" s="48">
        <f>IF(W109=4,W129,0)</f>
        <v>0</v>
      </c>
      <c r="Y146" s="52">
        <f>IF(Y109=4,W129,0)</f>
        <v>0</v>
      </c>
      <c r="Z146" s="48">
        <f>IF(Z109=4,Z129,0)</f>
        <v>0</v>
      </c>
      <c r="AB146" s="52">
        <f>IF(AB109=4,Z129,0)</f>
        <v>0</v>
      </c>
      <c r="AC146" s="48">
        <f>IF(AC109=4,AC129,0)</f>
        <v>0</v>
      </c>
      <c r="AE146" s="52">
        <f>IF(AE109=4,AC129,0)</f>
        <v>0</v>
      </c>
      <c r="AF146" s="48">
        <f>SUM(B146:AE146)</f>
        <v>85</v>
      </c>
    </row>
    <row r="147" spans="1:33" s="48" customFormat="1" ht="12.75" hidden="1" customHeight="1" x14ac:dyDescent="0.25">
      <c r="A147" s="48" t="s">
        <v>87</v>
      </c>
      <c r="B147" s="48">
        <f>IF(B109=5,B129,0)</f>
        <v>0</v>
      </c>
      <c r="D147" s="52">
        <f>IF(D109=5,B129,0)</f>
        <v>0</v>
      </c>
      <c r="E147" s="48">
        <f>IF(E109=5,E129,0)</f>
        <v>0</v>
      </c>
      <c r="G147" s="52">
        <f>IF(G109=5,E129,0)</f>
        <v>0</v>
      </c>
      <c r="H147" s="48">
        <f>IF(H109=5,H129,0)</f>
        <v>0</v>
      </c>
      <c r="J147" s="52">
        <f>IF(J109=5,H129,0)</f>
        <v>0</v>
      </c>
      <c r="K147" s="48">
        <f>IF(K109=5,K129,0)</f>
        <v>0</v>
      </c>
      <c r="M147" s="52">
        <f>IF(M109=5,K129,0)</f>
        <v>0</v>
      </c>
      <c r="N147" s="48">
        <f>IF(N109=5,N129,0)</f>
        <v>0</v>
      </c>
      <c r="P147" s="52">
        <f>IF(P109=5,N129,0)</f>
        <v>0</v>
      </c>
      <c r="Q147" s="48">
        <f>IF(Q109=5,Q129,0)</f>
        <v>0</v>
      </c>
      <c r="S147" s="52">
        <f>IF(S109=5,Q129,0)</f>
        <v>0</v>
      </c>
      <c r="T147" s="48">
        <f>IF(T109=5,T129,0)</f>
        <v>0</v>
      </c>
      <c r="V147" s="52">
        <f>IF(V109=5,T129,0)</f>
        <v>0</v>
      </c>
      <c r="W147" s="48">
        <f>IF(W109=5,W129,0)</f>
        <v>0</v>
      </c>
      <c r="Y147" s="52">
        <f>IF(Y109=5,W129,0)</f>
        <v>0</v>
      </c>
      <c r="Z147" s="48">
        <f>IF(Z109=5,Z129,0)</f>
        <v>0</v>
      </c>
      <c r="AB147" s="52">
        <f>IF(AB109=5,Z129,0)</f>
        <v>0</v>
      </c>
      <c r="AC147" s="48">
        <f>IF(AC109=5,AC129,0)</f>
        <v>0</v>
      </c>
      <c r="AE147" s="52">
        <f>IF(AE109=5,AC129,0)</f>
        <v>0</v>
      </c>
      <c r="AF147" s="48">
        <f>SUM(B147:AE147)</f>
        <v>0</v>
      </c>
    </row>
    <row r="148" spans="1:33" s="48" customFormat="1" ht="38.25" hidden="1" customHeight="1" x14ac:dyDescent="0.25">
      <c r="A148" s="48" t="s">
        <v>89</v>
      </c>
      <c r="D148" s="52"/>
      <c r="G148" s="52"/>
      <c r="J148" s="52"/>
      <c r="M148" s="52"/>
      <c r="P148" s="52"/>
      <c r="S148" s="52"/>
      <c r="V148" s="52"/>
      <c r="Y148" s="52"/>
      <c r="AB148" s="52"/>
      <c r="AE148" s="52"/>
      <c r="AF148" s="51" t="s">
        <v>90</v>
      </c>
      <c r="AG148" s="48" t="s">
        <v>91</v>
      </c>
    </row>
    <row r="149" spans="1:33" s="48" customFormat="1" ht="12.75" hidden="1" customHeight="1" x14ac:dyDescent="0.25">
      <c r="A149" s="48" t="s">
        <v>77</v>
      </c>
      <c r="B149" s="48">
        <f>IF(B109=1,SUMIF(B116:B120,"&gt;0"),0)</f>
        <v>0</v>
      </c>
      <c r="D149" s="52">
        <f>IF(D109=1,SUMIF(D116:D120,"&gt;0"),0)</f>
        <v>0</v>
      </c>
      <c r="E149" s="48">
        <f>IF(E109=1,SUMIF(E116:E120,"&gt;0"),0)</f>
        <v>1</v>
      </c>
      <c r="G149" s="52">
        <f>IF(G109=1,SUMIF(G116:G120,"&gt;0"),0)</f>
        <v>0</v>
      </c>
      <c r="H149" s="48">
        <f>IF(H109=1,SUMIF(H116:H120,"&gt;0"),0)</f>
        <v>0</v>
      </c>
      <c r="J149" s="52">
        <f>IF(J109=1,SUMIF(J116:J120,"&gt;0"),0)</f>
        <v>0</v>
      </c>
      <c r="K149" s="48">
        <f>IF(K109=1,SUMIF(K116:K120,"&gt;0"),0)</f>
        <v>1</v>
      </c>
      <c r="M149" s="52">
        <f>IF(M109=1,SUMIF(M116:M120,"&gt;0"),0)</f>
        <v>0</v>
      </c>
      <c r="N149" s="48">
        <f>IF(N109=1,SUMIF(N116:N120,"&gt;0"),0)</f>
        <v>0</v>
      </c>
      <c r="P149" s="52">
        <f>IF(P109=1,SUMIF(P116:P120,"&gt;0"),0)</f>
        <v>0</v>
      </c>
      <c r="Q149" s="48">
        <f>IF(Q109=1,SUMIF(Q116:Q120,"&gt;0"),0)</f>
        <v>0</v>
      </c>
      <c r="S149" s="52">
        <f>IF(S109=1,SUMIF(S116:S120,"&gt;0"),0)</f>
        <v>0</v>
      </c>
      <c r="T149" s="48">
        <f>IF(T109=1,SUMIF(T116:T120,"&gt;0"),0)</f>
        <v>0</v>
      </c>
      <c r="V149" s="52">
        <f>IF(V109=1,SUMIF(V116:V120,"&gt;0"),0)</f>
        <v>0</v>
      </c>
      <c r="W149" s="48">
        <f>IF(W109=1,SUMIF(W116:W120,"&gt;0"),0)</f>
        <v>0</v>
      </c>
      <c r="Y149" s="52">
        <f>IF(Y109=1,SUMIF(Y116:Y120,"&gt;0"),0)</f>
        <v>0</v>
      </c>
      <c r="Z149" s="48">
        <f>IF(Z109=1,SUMIF(Z116:Z120,"&gt;0"),0)</f>
        <v>0</v>
      </c>
      <c r="AB149" s="52">
        <f>IF(AB109=1,SUMIF(AB116:AB120,"&gt;0"),0)</f>
        <v>0</v>
      </c>
      <c r="AC149" s="48">
        <f>IF(AC109=1,SUMIF(AC116:AC120,"&gt;0"),0)</f>
        <v>0</v>
      </c>
      <c r="AE149" s="52">
        <f>IF(AE109=1,SUMIF(AE116:AE120,"&gt;0"),0)</f>
        <v>0</v>
      </c>
      <c r="AF149" s="48">
        <f>SUM(B149:AE149)</f>
        <v>2</v>
      </c>
      <c r="AG149" s="48">
        <f>AF157-AF149</f>
        <v>1</v>
      </c>
    </row>
    <row r="150" spans="1:33" s="48" customFormat="1" ht="12.75" hidden="1" customHeight="1" x14ac:dyDescent="0.25">
      <c r="A150" s="48" t="s">
        <v>78</v>
      </c>
      <c r="B150" s="48">
        <f>IF(B109=2,SUMIF(B116:B120,"&gt;0"),0)</f>
        <v>0</v>
      </c>
      <c r="D150" s="52">
        <f>IF(D109=2,SUMIF(D116:D120,"&gt;0"),0)</f>
        <v>0</v>
      </c>
      <c r="E150" s="48">
        <f>IF(E109=2,SUMIF(E116:E120,"&gt;0"),0)</f>
        <v>0</v>
      </c>
      <c r="G150" s="52">
        <f>IF(G109=2,SUMIF(G116:G120,"&gt;0"),0)</f>
        <v>0</v>
      </c>
      <c r="H150" s="48">
        <f>IF(H109=2,SUMIF(H116:H120,"&gt;0"),0)</f>
        <v>1</v>
      </c>
      <c r="J150" s="52">
        <f>IF(J109=2,SUMIF(J116:J120,"&gt;0"),0)</f>
        <v>0</v>
      </c>
      <c r="K150" s="48">
        <f>IF(K109=2,SUMIF(K116:K120,"&gt;0"),0)</f>
        <v>0</v>
      </c>
      <c r="M150" s="52">
        <f>IF(M109=2,SUMIF(M116:M120,"&gt;0"),0)</f>
        <v>0</v>
      </c>
      <c r="N150" s="48">
        <f>IF(N109=2,SUMIF(N116:N120,"&gt;0"),0)</f>
        <v>0</v>
      </c>
      <c r="P150" s="52">
        <f>IF(P109=2,SUMIF(P116:P120,"&gt;0"),0)</f>
        <v>0</v>
      </c>
      <c r="Q150" s="48">
        <f>IF(Q109=2,SUMIF(Q116:Q120,"&gt;0"),0)</f>
        <v>0</v>
      </c>
      <c r="S150" s="52">
        <f>IF(S109=2,SUMIF(S116:S120,"&gt;0"),0)</f>
        <v>1</v>
      </c>
      <c r="T150" s="48">
        <f>IF(T109=2,SUMIF(T116:T120,"&gt;0"),0)</f>
        <v>0</v>
      </c>
      <c r="V150" s="52">
        <f>IF(V109=2,SUMIF(V116:V120,"&gt;0"),0)</f>
        <v>0</v>
      </c>
      <c r="W150" s="48">
        <f>IF(W109=2,SUMIF(W116:W120,"&gt;0"),0)</f>
        <v>0</v>
      </c>
      <c r="Y150" s="52">
        <f>IF(Y109=2,SUMIF(Y116:Y120,"&gt;0"),0)</f>
        <v>0</v>
      </c>
      <c r="Z150" s="48">
        <f>IF(Z109=2,SUMIF(Z116:Z120,"&gt;0"),0)</f>
        <v>0</v>
      </c>
      <c r="AB150" s="52">
        <f>IF(AB109=2,SUMIF(AB116:AB120,"&gt;0"),0)</f>
        <v>0</v>
      </c>
      <c r="AC150" s="48">
        <f>IF(AC109=2,SUMIF(AC116:AC120,"&gt;0"),0)</f>
        <v>0</v>
      </c>
      <c r="AE150" s="52">
        <f>IF(AE109=2,SUMIF(AE116:AE120,"&gt;0"),0)</f>
        <v>0</v>
      </c>
      <c r="AF150" s="48">
        <f>SUM(B150:AE150)</f>
        <v>2</v>
      </c>
      <c r="AG150" s="48">
        <f>AF158-AF150</f>
        <v>1</v>
      </c>
    </row>
    <row r="151" spans="1:33" s="48" customFormat="1" ht="12.75" hidden="1" customHeight="1" x14ac:dyDescent="0.25">
      <c r="A151" s="48" t="s">
        <v>79</v>
      </c>
      <c r="B151" s="48">
        <f>IF(B109=3,SUMIF(B116:B120,"&gt;0"),0)</f>
        <v>0</v>
      </c>
      <c r="D151" s="52">
        <f>IF(D109=3,SUMIF(D116:D120,"&gt;0"),0)</f>
        <v>1</v>
      </c>
      <c r="E151" s="48">
        <f>IF(E109=3,SUMIF(E116:E120,"&gt;0"),0)</f>
        <v>0</v>
      </c>
      <c r="G151" s="52">
        <f>IF(G109=3,SUMIF(G116:G120,"&gt;0"),0)</f>
        <v>0</v>
      </c>
      <c r="H151" s="48">
        <f>IF(H109=3,SUMIF(H116:H120,"&gt;0"),0)</f>
        <v>0</v>
      </c>
      <c r="J151" s="52">
        <f>IF(J109=3,SUMIF(J116:J120,"&gt;0"),0)</f>
        <v>0</v>
      </c>
      <c r="K151" s="48">
        <f>IF(K109=3,SUMIF(K116:K120,"&gt;0"),0)</f>
        <v>0</v>
      </c>
      <c r="M151" s="52">
        <f>IF(M109=3,SUMIF(M116:M120,"&gt;0"),0)</f>
        <v>0</v>
      </c>
      <c r="N151" s="48">
        <f>IF(N109=3,SUMIF(N116:N120,"&gt;0"),0)</f>
        <v>1</v>
      </c>
      <c r="P151" s="52">
        <f>IF(P109=3,SUMIF(P116:P120,"&gt;0"),0)</f>
        <v>0</v>
      </c>
      <c r="Q151" s="48">
        <f>IF(Q109=3,SUMIF(Q116:Q120,"&gt;0"),0)</f>
        <v>0</v>
      </c>
      <c r="S151" s="52">
        <f>IF(S109=3,SUMIF(S116:S120,"&gt;0"),0)</f>
        <v>0</v>
      </c>
      <c r="T151" s="48">
        <f>IF(T109=3,SUMIF(T116:T120,"&gt;0"),0)</f>
        <v>0</v>
      </c>
      <c r="V151" s="52">
        <f>IF(V109=3,SUMIF(V116:V120,"&gt;0"),0)</f>
        <v>0</v>
      </c>
      <c r="W151" s="48">
        <f>IF(W109=3,SUMIF(W116:W120,"&gt;0"),0)</f>
        <v>0</v>
      </c>
      <c r="Y151" s="52">
        <f>IF(Y109=3,SUMIF(Y116:Y120,"&gt;0"),0)</f>
        <v>0</v>
      </c>
      <c r="Z151" s="48">
        <f>IF(Z109=3,SUMIF(Z116:Z120,"&gt;0"),0)</f>
        <v>0</v>
      </c>
      <c r="AB151" s="52">
        <f>IF(AB109=3,SUMIF(AB116:AB120,"&gt;0"),0)</f>
        <v>0</v>
      </c>
      <c r="AC151" s="48">
        <f>IF(AC109=3,SUMIF(AC116:AC120,"&gt;0"),0)</f>
        <v>0</v>
      </c>
      <c r="AE151" s="52">
        <f>IF(AE109=3,SUMIF(AE116:AE120,"&gt;0"),0)</f>
        <v>0</v>
      </c>
      <c r="AF151" s="48">
        <f>SUM(B151:AE151)</f>
        <v>2</v>
      </c>
      <c r="AG151" s="48">
        <f>AF159-AF151</f>
        <v>1</v>
      </c>
    </row>
    <row r="152" spans="1:33" s="48" customFormat="1" ht="12.75" hidden="1" customHeight="1" x14ac:dyDescent="0.25">
      <c r="A152" s="48" t="s">
        <v>80</v>
      </c>
      <c r="B152" s="48">
        <f>IF(B109=4,SUMIF(B116:B120,"&gt;0"),0)</f>
        <v>0</v>
      </c>
      <c r="D152" s="52">
        <f>IF(D109=4,SUMIF(D116:D120,"&gt;0"),0)</f>
        <v>0</v>
      </c>
      <c r="E152" s="48">
        <f>IF(E109=4,SUMIF(E116:E120,"&gt;0"),0)</f>
        <v>0</v>
      </c>
      <c r="G152" s="52">
        <f>IF(G109=4,SUMIF(G116:G120,"&gt;0"),0)</f>
        <v>0</v>
      </c>
      <c r="H152" s="48">
        <f>IF(H109=4,SUMIF(H116:H120,"&gt;0"),0)</f>
        <v>0</v>
      </c>
      <c r="J152" s="52">
        <f>IF(J109=4,SUMIF(J116:J120,"&gt;0"),0)</f>
        <v>0</v>
      </c>
      <c r="K152" s="48">
        <f>IF(K109=4,SUMIF(K116:K120,"&gt;0"),0)</f>
        <v>0</v>
      </c>
      <c r="M152" s="52">
        <f>IF(M109=4,SUMIF(M116:M120,"&gt;0"),0)</f>
        <v>0</v>
      </c>
      <c r="N152" s="48">
        <f>IF(N109=4,SUMIF(N116:N120,"&gt;0"),0)</f>
        <v>0</v>
      </c>
      <c r="P152" s="52">
        <f>IF(P109=4,SUMIF(P116:P120,"&gt;0"),0)</f>
        <v>0</v>
      </c>
      <c r="Q152" s="48">
        <f>IF(Q109=4,SUMIF(Q116:Q120,"&gt;0"),0)</f>
        <v>0</v>
      </c>
      <c r="S152" s="52">
        <f>IF(S109=4,SUMIF(S116:S120,"&gt;0"),0)</f>
        <v>0</v>
      </c>
      <c r="T152" s="48">
        <f>IF(T109=4,SUMIF(T116:T120,"&gt;0"),0)</f>
        <v>0</v>
      </c>
      <c r="V152" s="52">
        <f>IF(V109=4,SUMIF(V116:V120,"&gt;0"),0)</f>
        <v>0</v>
      </c>
      <c r="W152" s="48">
        <f>IF(W109=4,SUMIF(W116:W120,"&gt;0"),0)</f>
        <v>0</v>
      </c>
      <c r="Y152" s="52">
        <f>IF(Y109=4,SUMIF(Y116:Y120,"&gt;0"),0)</f>
        <v>0</v>
      </c>
      <c r="Z152" s="48">
        <f>IF(Z109=4,SUMIF(Z116:Z120,"&gt;0"),0)</f>
        <v>0</v>
      </c>
      <c r="AB152" s="52">
        <f>IF(AB109=4,SUMIF(AB116:AB120,"&gt;0"),0)</f>
        <v>0</v>
      </c>
      <c r="AC152" s="48">
        <f>IF(AC109=4,SUMIF(AC116:AC120,"&gt;0"),0)</f>
        <v>0</v>
      </c>
      <c r="AE152" s="52">
        <f>IF(AE109=4,SUMIF(AE116:AE120,"&gt;0"),0)</f>
        <v>0</v>
      </c>
      <c r="AF152" s="48">
        <f>SUM(B152:AE152)</f>
        <v>0</v>
      </c>
      <c r="AG152" s="48">
        <f>AF160-AF152</f>
        <v>3</v>
      </c>
    </row>
    <row r="153" spans="1:33" s="48" customFormat="1" ht="12.75" hidden="1" customHeight="1" x14ac:dyDescent="0.25">
      <c r="A153" s="48" t="s">
        <v>81</v>
      </c>
      <c r="B153" s="48">
        <f>IF(B109=5,SUMIF(B116:B120,"&gt;0"),0)</f>
        <v>0</v>
      </c>
      <c r="D153" s="52">
        <f>IF(D109=5,SUMIF(D116:D120,"&gt;0"),0)</f>
        <v>0</v>
      </c>
      <c r="E153" s="48">
        <f>IF(E109=5,SUMIF(E116:E120,"&gt;0"),0)</f>
        <v>0</v>
      </c>
      <c r="G153" s="52">
        <f>IF(G109=5,SUMIF(G116:G120,"&gt;0"),0)</f>
        <v>0</v>
      </c>
      <c r="H153" s="48">
        <f>IF(H109=5,SUMIF(H116:H120,"&gt;0"),0)</f>
        <v>0</v>
      </c>
      <c r="J153" s="52">
        <f>IF(J109=5,SUMIF(J116:J120,"&gt;0"),0)</f>
        <v>0</v>
      </c>
      <c r="K153" s="48">
        <f>IF(K109=5,SUMIF(K116:K120,"&gt;0"),0)</f>
        <v>0</v>
      </c>
      <c r="M153" s="52">
        <f>IF(M109=5,SUMIF(M116:M120,"&gt;0"),0)</f>
        <v>0</v>
      </c>
      <c r="N153" s="48">
        <f>IF(N109=5,SUMIF(N116:N120,"&gt;0"),0)</f>
        <v>0</v>
      </c>
      <c r="P153" s="52">
        <f>IF(P109=5,SUMIF(P116:P120,"&gt;0"),0)</f>
        <v>0</v>
      </c>
      <c r="Q153" s="48">
        <f>IF(Q109=5,SUMIF(Q116:Q120,"&gt;0"),0)</f>
        <v>0</v>
      </c>
      <c r="S153" s="52">
        <f>IF(S109=5,SUMIF(S116:S120,"&gt;0"),0)</f>
        <v>0</v>
      </c>
      <c r="T153" s="48">
        <f>IF(T109=5,SUMIF(T116:T120,"&gt;0"),0)</f>
        <v>0</v>
      </c>
      <c r="V153" s="52">
        <f>IF(V109=5,SUMIF(V116:V120,"&gt;0"),0)</f>
        <v>0</v>
      </c>
      <c r="W153" s="48">
        <f>IF(W109=5,SUMIF(W116:W120,"&gt;0"),0)</f>
        <v>0</v>
      </c>
      <c r="Y153" s="52">
        <f>IF(Y109=5,SUMIF(Y116:Y120,"&gt;0"),0)</f>
        <v>0</v>
      </c>
      <c r="Z153" s="48">
        <f>IF(Z109=5,SUMIF(Z116:Z120,"&gt;0"),0)</f>
        <v>0</v>
      </c>
      <c r="AB153" s="52">
        <f>IF(AB109=5,SUMIF(AB116:AB120,"&gt;0"),0)</f>
        <v>0</v>
      </c>
      <c r="AC153" s="48">
        <f>IF(AC109=5,SUMIF(AC116:AC120,"&gt;0"),0)</f>
        <v>0</v>
      </c>
      <c r="AE153" s="52">
        <f>IF(AE109=5,SUMIF(AE116:AE120,"&gt;0"),0)</f>
        <v>0</v>
      </c>
      <c r="AF153" s="48">
        <f>SUM(B153:AE153)</f>
        <v>0</v>
      </c>
      <c r="AG153" s="48">
        <f>AF161-AF153</f>
        <v>0</v>
      </c>
    </row>
    <row r="154" spans="1:33" s="48" customFormat="1" ht="12.75" hidden="1" customHeight="1" x14ac:dyDescent="0.25">
      <c r="D154" s="52"/>
      <c r="G154" s="52"/>
      <c r="J154" s="52"/>
      <c r="M154" s="52"/>
      <c r="P154" s="52"/>
      <c r="S154" s="52"/>
      <c r="V154" s="52"/>
      <c r="Y154" s="52"/>
      <c r="AB154" s="52"/>
      <c r="AE154" s="52"/>
    </row>
    <row r="155" spans="1:33" s="48" customFormat="1" ht="12.75" hidden="1" customHeight="1" x14ac:dyDescent="0.25">
      <c r="D155" s="52"/>
      <c r="G155" s="52"/>
      <c r="J155" s="52"/>
      <c r="M155" s="52"/>
      <c r="P155" s="52"/>
      <c r="S155" s="52"/>
      <c r="V155" s="52"/>
      <c r="Y155" s="52"/>
      <c r="AB155" s="52"/>
      <c r="AE155" s="52"/>
    </row>
    <row r="156" spans="1:33" s="48" customFormat="1" ht="51" hidden="1" customHeight="1" x14ac:dyDescent="0.25">
      <c r="A156" s="51" t="s">
        <v>92</v>
      </c>
      <c r="C156" s="48">
        <f>SUMIF(B149:D153,"&gt;0")</f>
        <v>1</v>
      </c>
      <c r="D156" s="52"/>
      <c r="F156" s="48">
        <f>SUMIF(E149:G153,"&gt;0")</f>
        <v>1</v>
      </c>
      <c r="G156" s="52"/>
      <c r="I156" s="48">
        <f>SUMIF(H149:J153,"&gt;0")</f>
        <v>1</v>
      </c>
      <c r="J156" s="52"/>
      <c r="L156" s="48">
        <f>SUMIF(K149:M153,"&gt;0")</f>
        <v>1</v>
      </c>
      <c r="M156" s="52"/>
      <c r="O156" s="48">
        <f>SUMIF(N149:P153,"&gt;0")</f>
        <v>1</v>
      </c>
      <c r="P156" s="52"/>
      <c r="R156" s="48">
        <f>SUMIF(Q149:S153,"&gt;0")</f>
        <v>1</v>
      </c>
      <c r="S156" s="52"/>
      <c r="U156" s="48">
        <f>SUMIF(T149:V153,"&gt;0")</f>
        <v>0</v>
      </c>
      <c r="V156" s="52"/>
      <c r="X156" s="48">
        <f>SUMIF(W149:Y153,"&gt;0")</f>
        <v>0</v>
      </c>
      <c r="Y156" s="52"/>
      <c r="AA156" s="48">
        <f>SUMIF(Z149:AB153,"&gt;0")</f>
        <v>0</v>
      </c>
      <c r="AB156" s="52"/>
      <c r="AD156" s="48">
        <f>SUMIF(AC149:AE153,"&gt;0")</f>
        <v>0</v>
      </c>
      <c r="AE156" s="52"/>
      <c r="AF156" s="51" t="s">
        <v>93</v>
      </c>
    </row>
    <row r="157" spans="1:33" s="48" customFormat="1" ht="12.75" hidden="1" customHeight="1" x14ac:dyDescent="0.25">
      <c r="A157" s="48" t="s">
        <v>83</v>
      </c>
      <c r="B157" s="48">
        <f>IF(B109=1,C156,0)</f>
        <v>0</v>
      </c>
      <c r="D157" s="52">
        <f>IF(D109=1,C156,0)</f>
        <v>0</v>
      </c>
      <c r="E157" s="48">
        <f>IF(E109=1,F156,0)</f>
        <v>1</v>
      </c>
      <c r="G157" s="52">
        <f>IF(G109=1,F156,0)</f>
        <v>0</v>
      </c>
      <c r="H157" s="48">
        <f>IF(H109=1,I156,0)</f>
        <v>0</v>
      </c>
      <c r="J157" s="52">
        <f>IF(J109=1,I156,0)</f>
        <v>0</v>
      </c>
      <c r="K157" s="48">
        <f>IF(K109=1,L156,0)</f>
        <v>1</v>
      </c>
      <c r="M157" s="52">
        <f>IF(M109=1,L156,0)</f>
        <v>0</v>
      </c>
      <c r="N157" s="48">
        <f>IF(N109=1,O156,0)</f>
        <v>0</v>
      </c>
      <c r="P157" s="52">
        <f>IF(P109=1,O156,0)</f>
        <v>0</v>
      </c>
      <c r="Q157" s="48">
        <f>IF(Q109=1,R156,0)</f>
        <v>1</v>
      </c>
      <c r="S157" s="52">
        <f>IF(S109=1,R156,0)</f>
        <v>0</v>
      </c>
      <c r="T157" s="48">
        <f>IF(T109=1,U156,0)</f>
        <v>0</v>
      </c>
      <c r="V157" s="52">
        <f>IF(V109=1,U156,0)</f>
        <v>0</v>
      </c>
      <c r="W157" s="48">
        <f>IF(W109=1,X156,0)</f>
        <v>0</v>
      </c>
      <c r="Y157" s="52">
        <f>IF(Y109=1,X156,0)</f>
        <v>0</v>
      </c>
      <c r="Z157" s="48">
        <f>IF(Z109=1,AA156,0)</f>
        <v>0</v>
      </c>
      <c r="AB157" s="52">
        <f>IF(AB109=1,AA156,0)</f>
        <v>0</v>
      </c>
      <c r="AC157" s="48">
        <f>IF(AC109=1,AD156,0)</f>
        <v>0</v>
      </c>
      <c r="AE157" s="52">
        <f>IF(AE109=1,AD156,0)</f>
        <v>0</v>
      </c>
      <c r="AF157" s="48">
        <f>SUM(B157:AE157)</f>
        <v>3</v>
      </c>
    </row>
    <row r="158" spans="1:33" s="48" customFormat="1" ht="12.75" hidden="1" customHeight="1" x14ac:dyDescent="0.25">
      <c r="A158" s="48" t="s">
        <v>84</v>
      </c>
      <c r="B158" s="48">
        <f>IF(B109=2,C156,0)</f>
        <v>1</v>
      </c>
      <c r="D158" s="52">
        <f>IF(D109=2,C156,0)</f>
        <v>0</v>
      </c>
      <c r="E158" s="48">
        <f>IF(E109=2,F156,0)</f>
        <v>0</v>
      </c>
      <c r="G158" s="52">
        <f>IF(G109=2,F156,0)</f>
        <v>0</v>
      </c>
      <c r="H158" s="48">
        <f>IF(H109=2,I156,0)</f>
        <v>1</v>
      </c>
      <c r="J158" s="52">
        <f>IF(J109=2,I156,0)</f>
        <v>0</v>
      </c>
      <c r="K158" s="48">
        <f>IF(K109=2,L156,0)</f>
        <v>0</v>
      </c>
      <c r="M158" s="52">
        <f>IF(M109=2,L156,0)</f>
        <v>0</v>
      </c>
      <c r="N158" s="48">
        <f>IF(N109=2,O156,0)</f>
        <v>0</v>
      </c>
      <c r="P158" s="52">
        <f>IF(P109=2,O156,0)</f>
        <v>0</v>
      </c>
      <c r="Q158" s="48">
        <f>IF(Q109=2,R156,0)</f>
        <v>0</v>
      </c>
      <c r="S158" s="52">
        <f>IF(S109=2,R156,0)</f>
        <v>1</v>
      </c>
      <c r="T158" s="48">
        <f>IF(T109=2,U156,0)</f>
        <v>0</v>
      </c>
      <c r="V158" s="52">
        <f>IF(V109=2,U156,0)</f>
        <v>0</v>
      </c>
      <c r="W158" s="48">
        <f>IF(W109=2,X156,0)</f>
        <v>0</v>
      </c>
      <c r="Y158" s="52">
        <f>IF(Y109=2,X156,0)</f>
        <v>0</v>
      </c>
      <c r="Z158" s="48">
        <f>IF(Z109=2,AA156,0)</f>
        <v>0</v>
      </c>
      <c r="AB158" s="52">
        <f>IF(AB109=2,AA156,0)</f>
        <v>0</v>
      </c>
      <c r="AC158" s="48">
        <f>IF(AC109=2,AD156,0)</f>
        <v>0</v>
      </c>
      <c r="AE158" s="52">
        <f>IF(AE109=2,AD156,0)</f>
        <v>0</v>
      </c>
      <c r="AF158" s="48">
        <f>SUM(B158:AE158)</f>
        <v>3</v>
      </c>
    </row>
    <row r="159" spans="1:33" s="48" customFormat="1" ht="12.75" hidden="1" customHeight="1" x14ac:dyDescent="0.25">
      <c r="A159" s="48" t="s">
        <v>85</v>
      </c>
      <c r="B159" s="48">
        <f>IF(B109=3,C156,0)</f>
        <v>0</v>
      </c>
      <c r="D159" s="52">
        <f>IF(D109=3,C156,0)</f>
        <v>1</v>
      </c>
      <c r="E159" s="48">
        <f>IF(E109=3,F156,0)</f>
        <v>0</v>
      </c>
      <c r="G159" s="52">
        <f>IF(G109=3,F156,0)</f>
        <v>0</v>
      </c>
      <c r="H159" s="48">
        <f>IF(H109=3,I156,0)</f>
        <v>0</v>
      </c>
      <c r="J159" s="52">
        <f>IF(J109=3,I156,0)</f>
        <v>0</v>
      </c>
      <c r="K159" s="48">
        <f>IF(K109=3,L156,0)</f>
        <v>0</v>
      </c>
      <c r="M159" s="52">
        <f>IF(M109=3,L156,0)</f>
        <v>1</v>
      </c>
      <c r="N159" s="48">
        <f>IF(N109=3,O156,0)</f>
        <v>1</v>
      </c>
      <c r="P159" s="52">
        <f>IF(P109=3,O156,0)</f>
        <v>0</v>
      </c>
      <c r="Q159" s="48">
        <f>IF(Q109=3,R156,0)</f>
        <v>0</v>
      </c>
      <c r="S159" s="52">
        <f>IF(S109=3,R156,0)</f>
        <v>0</v>
      </c>
      <c r="T159" s="48">
        <f>IF(T109=3,U156,0)</f>
        <v>0</v>
      </c>
      <c r="V159" s="52">
        <f>IF(V109=3,U156,0)</f>
        <v>0</v>
      </c>
      <c r="W159" s="48">
        <f>IF(W109=3,X156,0)</f>
        <v>0</v>
      </c>
      <c r="Y159" s="52">
        <f>IF(Y109=3,X156,0)</f>
        <v>0</v>
      </c>
      <c r="Z159" s="48">
        <f>IF(Z109=3,AA156,0)</f>
        <v>0</v>
      </c>
      <c r="AB159" s="52">
        <f>IF(AB109=3,AA156,0)</f>
        <v>0</v>
      </c>
      <c r="AC159" s="48">
        <f>IF(AC109=3,AD156,0)</f>
        <v>0</v>
      </c>
      <c r="AE159" s="52">
        <f>IF(AE109=3,AD156,0)</f>
        <v>0</v>
      </c>
      <c r="AF159" s="48">
        <f>SUM(B159:AE159)</f>
        <v>3</v>
      </c>
    </row>
    <row r="160" spans="1:33" s="48" customFormat="1" ht="12.75" hidden="1" customHeight="1" x14ac:dyDescent="0.25">
      <c r="A160" s="48" t="s">
        <v>86</v>
      </c>
      <c r="B160" s="48">
        <f>IF(B109=4,C156,0)</f>
        <v>0</v>
      </c>
      <c r="D160" s="52">
        <f>IF(D109=4,C156,0)</f>
        <v>0</v>
      </c>
      <c r="E160" s="48">
        <f>IF(E109=4,F156,0)</f>
        <v>0</v>
      </c>
      <c r="G160" s="52">
        <f>IF(G109=4,F156,0)</f>
        <v>1</v>
      </c>
      <c r="H160" s="48">
        <f>IF(H109=4,I156,0)</f>
        <v>0</v>
      </c>
      <c r="J160" s="52">
        <f>IF(J109=4,I156,0)</f>
        <v>1</v>
      </c>
      <c r="K160" s="48">
        <f>IF(K109=4,L156,0)</f>
        <v>0</v>
      </c>
      <c r="M160" s="52">
        <f>IF(M109=4,L156,0)</f>
        <v>0</v>
      </c>
      <c r="N160" s="48">
        <f>IF(N109=4,O156,0)</f>
        <v>0</v>
      </c>
      <c r="P160" s="52">
        <f>IF(P109=4,O156,0)</f>
        <v>1</v>
      </c>
      <c r="Q160" s="48">
        <f>IF(Q109=4,R156,0)</f>
        <v>0</v>
      </c>
      <c r="S160" s="52">
        <f>IF(S109=4,R156,0)</f>
        <v>0</v>
      </c>
      <c r="T160" s="48">
        <f>IF(T109=4,U156,0)</f>
        <v>0</v>
      </c>
      <c r="V160" s="52">
        <f>IF(V109=4,U156,0)</f>
        <v>0</v>
      </c>
      <c r="W160" s="48">
        <f>IF(W109=4,X156,0)</f>
        <v>0</v>
      </c>
      <c r="Y160" s="52">
        <f>IF(Y109=4,X156,0)</f>
        <v>0</v>
      </c>
      <c r="Z160" s="48">
        <f>IF(Z109=4,AA156,0)</f>
        <v>0</v>
      </c>
      <c r="AB160" s="52">
        <f>IF(AB109=4,AA156,0)</f>
        <v>0</v>
      </c>
      <c r="AC160" s="48">
        <f>IF(AC109=4,AD156,0)</f>
        <v>0</v>
      </c>
      <c r="AE160" s="52">
        <f>IF(AE109=4,AD156,0)</f>
        <v>0</v>
      </c>
      <c r="AF160" s="48">
        <f>SUM(B160:AE160)</f>
        <v>3</v>
      </c>
    </row>
    <row r="161" spans="1:49" s="48" customFormat="1" ht="12.75" hidden="1" customHeight="1" x14ac:dyDescent="0.25">
      <c r="A161" s="48" t="s">
        <v>87</v>
      </c>
      <c r="B161" s="48">
        <f>IF(B109=5,C156,0)</f>
        <v>0</v>
      </c>
      <c r="D161" s="52">
        <f>IF(D109=5,C156,0)</f>
        <v>0</v>
      </c>
      <c r="E161" s="48">
        <f>IF(E109=5,F156,0)</f>
        <v>0</v>
      </c>
      <c r="G161" s="52">
        <f>IF(G109=5,F156,0)</f>
        <v>0</v>
      </c>
      <c r="H161" s="48">
        <f>IF(H109=5,I156,0)</f>
        <v>0</v>
      </c>
      <c r="J161" s="52">
        <f>IF(J109=5,I156,0)</f>
        <v>0</v>
      </c>
      <c r="K161" s="48">
        <f>IF(K109=5,L156,0)</f>
        <v>0</v>
      </c>
      <c r="M161" s="52">
        <f>IF(M109=5,L156,0)</f>
        <v>0</v>
      </c>
      <c r="N161" s="48">
        <f>IF(N109=5,O156,0)</f>
        <v>0</v>
      </c>
      <c r="P161" s="52">
        <f>IF(P109=5,O156,0)</f>
        <v>0</v>
      </c>
      <c r="Q161" s="48">
        <f>IF(Q109=5,R156,0)</f>
        <v>0</v>
      </c>
      <c r="S161" s="52">
        <f>IF(S109=5,R156,0)</f>
        <v>0</v>
      </c>
      <c r="T161" s="48">
        <f>IF(T109=5,U156,0)</f>
        <v>0</v>
      </c>
      <c r="V161" s="52">
        <f>IF(V109=5,U156,0)</f>
        <v>0</v>
      </c>
      <c r="W161" s="48">
        <f>IF(W109=5,X156,0)</f>
        <v>0</v>
      </c>
      <c r="Y161" s="52">
        <f>IF(Y109=5,X156,0)</f>
        <v>0</v>
      </c>
      <c r="Z161" s="48">
        <f>IF(Z109=5,AA156,0)</f>
        <v>0</v>
      </c>
      <c r="AB161" s="52">
        <f>IF(AB109=5,AA156,0)</f>
        <v>0</v>
      </c>
      <c r="AC161" s="48">
        <f>IF(AC109=5,AD156,0)</f>
        <v>0</v>
      </c>
      <c r="AE161" s="52">
        <f>IF(AE109=5,AD156,0)</f>
        <v>0</v>
      </c>
      <c r="AF161" s="48">
        <f>SUM(B161:AE161)</f>
        <v>0</v>
      </c>
      <c r="AT161" s="55"/>
      <c r="AU161" s="55"/>
      <c r="AV161" s="55"/>
    </row>
    <row r="162" spans="1:49" hidden="1" x14ac:dyDescent="0.25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4"/>
      <c r="AO162" s="74"/>
      <c r="AP162" s="74"/>
      <c r="AQ162" s="74"/>
      <c r="AR162" s="55"/>
      <c r="AS162" s="55"/>
      <c r="AT162" s="55"/>
      <c r="AU162" s="55"/>
      <c r="AV162" s="55"/>
      <c r="AW162" s="56"/>
    </row>
    <row r="163" spans="1:49" s="55" customFormat="1" hidden="1" x14ac:dyDescent="0.25">
      <c r="A163" s="57"/>
      <c r="B163" s="57"/>
      <c r="C163" s="57" t="s">
        <v>94</v>
      </c>
      <c r="D163" s="57">
        <v>1</v>
      </c>
      <c r="E163" s="57"/>
      <c r="F163" s="57"/>
      <c r="G163" s="57">
        <v>2</v>
      </c>
      <c r="H163" s="57"/>
      <c r="I163" s="57"/>
      <c r="J163" s="57">
        <v>3</v>
      </c>
      <c r="K163" s="57"/>
      <c r="L163" s="57"/>
      <c r="M163" s="57">
        <v>4</v>
      </c>
      <c r="N163" s="57"/>
      <c r="O163" s="57"/>
      <c r="P163" s="57">
        <v>5</v>
      </c>
      <c r="Q163" s="57"/>
      <c r="R163" s="57"/>
      <c r="S163" s="57">
        <v>6</v>
      </c>
      <c r="T163" s="57"/>
      <c r="U163" s="57"/>
      <c r="V163" s="57">
        <v>7</v>
      </c>
      <c r="W163" s="57"/>
      <c r="X163" s="57"/>
      <c r="Y163" s="57">
        <v>8</v>
      </c>
      <c r="Z163" s="57"/>
      <c r="AA163" s="57"/>
      <c r="AB163" s="57">
        <v>9</v>
      </c>
      <c r="AC163" s="57"/>
      <c r="AD163" s="57"/>
      <c r="AE163" s="57">
        <v>10</v>
      </c>
      <c r="AF163" s="4"/>
      <c r="AG163" s="57"/>
      <c r="AI163" s="58"/>
      <c r="AJ163" s="4"/>
      <c r="AK163" s="4"/>
      <c r="AL163" s="4"/>
      <c r="AM163" s="4"/>
      <c r="AN163" s="4"/>
      <c r="AO163" s="4"/>
      <c r="AT163" s="58" t="s">
        <v>95</v>
      </c>
      <c r="AW163" s="59"/>
    </row>
    <row r="164" spans="1:49" s="55" customFormat="1" hidden="1" x14ac:dyDescent="0.25">
      <c r="A164" s="60">
        <v>1</v>
      </c>
      <c r="B164" s="60" t="str">
        <f>E93</f>
        <v>BVA 11</v>
      </c>
      <c r="C164" s="60">
        <f>VLOOKUP(B164,AU$3:AW$33,3,FALSE)</f>
        <v>1200</v>
      </c>
      <c r="D164" s="60">
        <f>IF(B157,B172,IF(D157,D172,C164))</f>
        <v>1200</v>
      </c>
      <c r="E164" s="60"/>
      <c r="F164" s="60"/>
      <c r="G164" s="60">
        <f>IF(E157,E172,IF(G157,G172,D164))</f>
        <v>1220.4820799936924</v>
      </c>
      <c r="H164" s="60"/>
      <c r="I164" s="60"/>
      <c r="J164" s="60">
        <f>IF(H157,H172,IF(J157,J172,G164))</f>
        <v>1220.4820799936924</v>
      </c>
      <c r="K164" s="60"/>
      <c r="L164" s="60"/>
      <c r="M164" s="60">
        <f>IF(K157,K172,IF(M157,M172,J164))</f>
        <v>1236.4792760035473</v>
      </c>
      <c r="N164" s="60"/>
      <c r="O164" s="60"/>
      <c r="P164" s="60">
        <f>IF(N157,N172,IF(P157,P172,M164))</f>
        <v>1236.4792760035473</v>
      </c>
      <c r="Q164" s="60"/>
      <c r="R164" s="60"/>
      <c r="S164" s="60">
        <f>IF(Q157,Q172,IF(S157,S172,P164))</f>
        <v>1223.1136240322348</v>
      </c>
      <c r="T164" s="60"/>
      <c r="U164" s="60"/>
      <c r="V164" s="60">
        <f>IF(T157,T172,IF(V157,V172,S164))</f>
        <v>1223.1136240322348</v>
      </c>
      <c r="W164" s="60"/>
      <c r="X164" s="60"/>
      <c r="Y164" s="60">
        <f>IF(W157,W172,IF(Y157,Y172,V164))</f>
        <v>1223.1136240322348</v>
      </c>
      <c r="Z164" s="60"/>
      <c r="AA164" s="60"/>
      <c r="AB164" s="60">
        <f>IF(Z157,Z172,IF(AB157,AB172,Y164))</f>
        <v>1223.1136240322348</v>
      </c>
      <c r="AC164" s="60"/>
      <c r="AD164" s="60"/>
      <c r="AE164" s="60">
        <f>IF(AC157,AC172,IF(AE157,AE172,AB164))</f>
        <v>1223.1136240322348</v>
      </c>
      <c r="AF164" s="4"/>
      <c r="AG164" s="4"/>
      <c r="AJ164" s="4"/>
      <c r="AK164" s="4"/>
      <c r="AL164" s="4"/>
      <c r="AM164" s="4"/>
      <c r="AN164" s="4"/>
      <c r="AO164" s="4"/>
      <c r="AT164" s="55" t="str">
        <f>B164</f>
        <v>BVA 11</v>
      </c>
      <c r="AU164" s="55">
        <f>AE164</f>
        <v>1223.1136240322348</v>
      </c>
      <c r="AW164" s="59"/>
    </row>
    <row r="165" spans="1:49" s="55" customFormat="1" hidden="1" x14ac:dyDescent="0.25">
      <c r="A165" s="60">
        <v>2</v>
      </c>
      <c r="B165" s="60" t="str">
        <f>E95</f>
        <v>SC Midlands KP Garnet</v>
      </c>
      <c r="C165" s="60">
        <f>VLOOKUP(B165,AU$3:AW$33,3,FALSE)</f>
        <v>1298.5668972647138</v>
      </c>
      <c r="D165" s="60">
        <f>IF(B158,B172,IF(D158,D172,C165))</f>
        <v>1278.1457051440116</v>
      </c>
      <c r="E165" s="60"/>
      <c r="F165" s="60"/>
      <c r="G165" s="60">
        <f>IF(E158,E172,IF(G158,G172,D165))</f>
        <v>1278.1457051440116</v>
      </c>
      <c r="H165" s="60"/>
      <c r="I165" s="60"/>
      <c r="J165" s="60">
        <f>IF(H158,H172,IF(J158,J172,G165))</f>
        <v>1294.2088976451589</v>
      </c>
      <c r="K165" s="60"/>
      <c r="L165" s="60"/>
      <c r="M165" s="60">
        <f>IF(K158,K172,IF(M158,M172,J165))</f>
        <v>1294.2088976451589</v>
      </c>
      <c r="N165" s="60"/>
      <c r="O165" s="60"/>
      <c r="P165" s="60">
        <f>IF(N158,N172,IF(P158,P172,M165))</f>
        <v>1294.2088976451589</v>
      </c>
      <c r="Q165" s="60"/>
      <c r="R165" s="60"/>
      <c r="S165" s="60">
        <f>IF(Q158,Q172,IF(S158,S172,P165))</f>
        <v>1307.5745496164714</v>
      </c>
      <c r="T165" s="60"/>
      <c r="U165" s="60"/>
      <c r="V165" s="60">
        <f>IF(T158,T172,IF(V158,V172,S165))</f>
        <v>1307.5745496164714</v>
      </c>
      <c r="W165" s="60"/>
      <c r="X165" s="60"/>
      <c r="Y165" s="60">
        <f>IF(W158,W172,IF(Y158,Y172,V165))</f>
        <v>1307.5745496164714</v>
      </c>
      <c r="Z165" s="60"/>
      <c r="AA165" s="60"/>
      <c r="AB165" s="60">
        <f>IF(Z158,Z172,IF(AB158,AB172,Y165))</f>
        <v>1307.5745496164714</v>
      </c>
      <c r="AC165" s="60"/>
      <c r="AD165" s="60"/>
      <c r="AE165" s="60">
        <f>IF(AC158,AC172,IF(AE158,AE172,AB165))</f>
        <v>1307.5745496164714</v>
      </c>
      <c r="AF165" s="4"/>
      <c r="AG165" s="4"/>
      <c r="AJ165" s="4"/>
      <c r="AL165" s="4"/>
      <c r="AM165" s="4"/>
      <c r="AN165" s="4"/>
      <c r="AO165" s="4"/>
      <c r="AT165" s="55" t="str">
        <f>B165</f>
        <v>SC Midlands KP Garnet</v>
      </c>
      <c r="AU165" s="55">
        <f>AE165</f>
        <v>1307.5745496164714</v>
      </c>
      <c r="AW165" s="59"/>
    </row>
    <row r="166" spans="1:49" s="55" customFormat="1" hidden="1" x14ac:dyDescent="0.25">
      <c r="A166" s="60">
        <v>3</v>
      </c>
      <c r="B166" s="60" t="str">
        <f>E97</f>
        <v>Foothills 12 Cait</v>
      </c>
      <c r="C166" s="60">
        <f>VLOOKUP(B166,AU$3:AW$33,3,FALSE)</f>
        <v>1200</v>
      </c>
      <c r="D166" s="60">
        <f>IF(B159,B172,IF(D159,D172,C166))</f>
        <v>1220.4211921207022</v>
      </c>
      <c r="E166" s="60"/>
      <c r="F166" s="60"/>
      <c r="G166" s="60">
        <f>IF(E159,E172,IF(G159,G172,D166))</f>
        <v>1220.4211921207022</v>
      </c>
      <c r="H166" s="60"/>
      <c r="I166" s="60"/>
      <c r="J166" s="60">
        <f>IF(H159,H172,IF(J159,J172,G166))</f>
        <v>1220.4211921207022</v>
      </c>
      <c r="K166" s="60"/>
      <c r="L166" s="60"/>
      <c r="M166" s="60">
        <f>IF(K159,K172,IF(M159,M172,J166))</f>
        <v>1204.4239961108474</v>
      </c>
      <c r="N166" s="60"/>
      <c r="O166" s="60"/>
      <c r="P166" s="60">
        <f>IF(N159,N172,IF(P159,P172,M166))</f>
        <v>1223.116601965821</v>
      </c>
      <c r="Q166" s="60"/>
      <c r="R166" s="60"/>
      <c r="S166" s="60">
        <f>IF(Q159,Q172,IF(S159,S172,P166))</f>
        <v>1223.116601965821</v>
      </c>
      <c r="T166" s="60"/>
      <c r="U166" s="60"/>
      <c r="V166" s="60">
        <f>IF(T159,T172,IF(V159,V172,S166))</f>
        <v>1223.116601965821</v>
      </c>
      <c r="W166" s="60"/>
      <c r="X166" s="60"/>
      <c r="Y166" s="60">
        <f>IF(W159,W172,IF(Y159,Y172,V166))</f>
        <v>1223.116601965821</v>
      </c>
      <c r="Z166" s="60"/>
      <c r="AA166" s="60"/>
      <c r="AB166" s="60">
        <f>IF(Z159,Z172,IF(AB159,AB172,Y166))</f>
        <v>1223.116601965821</v>
      </c>
      <c r="AC166" s="60"/>
      <c r="AD166" s="60"/>
      <c r="AE166" s="60">
        <f>IF(AC159,AC172,IF(AE159,AE172,AB166))</f>
        <v>1223.116601965821</v>
      </c>
      <c r="AF166" s="4"/>
      <c r="AG166" s="4"/>
      <c r="AJ166" s="4"/>
      <c r="AL166" s="4"/>
      <c r="AM166" s="4"/>
      <c r="AN166" s="4"/>
      <c r="AO166" s="4"/>
      <c r="AT166" s="55" t="str">
        <f>B166</f>
        <v>Foothills 12 Cait</v>
      </c>
      <c r="AU166" s="55">
        <f>AE166</f>
        <v>1223.116601965821</v>
      </c>
      <c r="AW166" s="59"/>
    </row>
    <row r="167" spans="1:49" s="55" customFormat="1" hidden="1" x14ac:dyDescent="0.25">
      <c r="A167" s="60">
        <v>4</v>
      </c>
      <c r="B167" s="60" t="str">
        <f>E99</f>
        <v>USA 12's Purple Carey</v>
      </c>
      <c r="C167" s="60">
        <f>VLOOKUP(B167,AU$3:AW$33,3,FALSE)</f>
        <v>1300</v>
      </c>
      <c r="D167" s="60">
        <f>IF(B160,B172,IF(D160,D172,C167))</f>
        <v>1300</v>
      </c>
      <c r="E167" s="60"/>
      <c r="F167" s="60"/>
      <c r="G167" s="60">
        <f>IF(E160,E172,IF(G160,G172,D167))</f>
        <v>1279.5179200063076</v>
      </c>
      <c r="H167" s="60"/>
      <c r="I167" s="60"/>
      <c r="J167" s="60">
        <f>IF(H160,H172,IF(J160,J172,G167))</f>
        <v>1263.4547275051602</v>
      </c>
      <c r="K167" s="60"/>
      <c r="L167" s="60"/>
      <c r="M167" s="60">
        <f>IF(K160,K172,IF(M160,M172,J167))</f>
        <v>1263.4547275051602</v>
      </c>
      <c r="N167" s="60"/>
      <c r="O167" s="60"/>
      <c r="P167" s="60">
        <f>IF(N160,N172,IF(P160,P172,M167))</f>
        <v>1244.7621216501866</v>
      </c>
      <c r="Q167" s="60"/>
      <c r="R167" s="60"/>
      <c r="S167" s="60">
        <f>IF(Q160,Q172,IF(S160,S172,P167))</f>
        <v>1244.7621216501866</v>
      </c>
      <c r="T167" s="60"/>
      <c r="U167" s="60"/>
      <c r="V167" s="60">
        <f>IF(T160,T172,IF(V160,V172,S167))</f>
        <v>1244.7621216501866</v>
      </c>
      <c r="W167" s="60"/>
      <c r="X167" s="60"/>
      <c r="Y167" s="60">
        <f>IF(W160,W172,IF(Y160,Y172,V167))</f>
        <v>1244.7621216501866</v>
      </c>
      <c r="Z167" s="60"/>
      <c r="AA167" s="60"/>
      <c r="AB167" s="60">
        <f>IF(Z160,Z172,IF(AB160,AB172,Y167))</f>
        <v>1244.7621216501866</v>
      </c>
      <c r="AC167" s="60"/>
      <c r="AD167" s="60"/>
      <c r="AE167" s="60">
        <f>IF(AC160,AC172,IF(AE160,AE172,AB167))</f>
        <v>1244.7621216501866</v>
      </c>
      <c r="AF167" s="4"/>
      <c r="AG167" s="4"/>
      <c r="AJ167" s="4"/>
      <c r="AL167" s="4"/>
      <c r="AM167" s="4"/>
      <c r="AN167" s="4"/>
      <c r="AO167" s="4"/>
      <c r="AT167" s="55" t="str">
        <f>B167</f>
        <v>USA 12's Purple Carey</v>
      </c>
      <c r="AU167" s="55">
        <f>AE167</f>
        <v>1244.7621216501866</v>
      </c>
      <c r="AW167" s="59"/>
    </row>
    <row r="168" spans="1:49" s="55" customFormat="1" hidden="1" x14ac:dyDescent="0.25">
      <c r="A168" s="60">
        <v>5</v>
      </c>
      <c r="B168" s="60">
        <f>E101</f>
        <v>0</v>
      </c>
      <c r="C168" s="60" t="e">
        <f>VLOOKUP(B168,AU$3:AW$33,3,FALSE)</f>
        <v>#N/A</v>
      </c>
      <c r="D168" s="60" t="e">
        <f>IF(B161,B172,IF(D161,D172,C168))</f>
        <v>#N/A</v>
      </c>
      <c r="E168" s="60"/>
      <c r="F168" s="60"/>
      <c r="G168" s="60" t="e">
        <f>IF(E161,E172,IF(G161,G172,D168))</f>
        <v>#N/A</v>
      </c>
      <c r="H168" s="60"/>
      <c r="I168" s="60"/>
      <c r="J168" s="60" t="e">
        <f>IF(H161,H172,IF(J161,J172,G168))</f>
        <v>#N/A</v>
      </c>
      <c r="K168" s="60"/>
      <c r="L168" s="60"/>
      <c r="M168" s="60" t="e">
        <f>IF(K161,K172,IF(M161,M172,J168))</f>
        <v>#N/A</v>
      </c>
      <c r="N168" s="60"/>
      <c r="O168" s="60"/>
      <c r="P168" s="60" t="e">
        <f>IF(N161,N172,IF(P161,P172,M168))</f>
        <v>#N/A</v>
      </c>
      <c r="Q168" s="60"/>
      <c r="R168" s="60"/>
      <c r="S168" s="60" t="e">
        <f>IF(Q161,Q172,IF(S161,S172,P168))</f>
        <v>#N/A</v>
      </c>
      <c r="T168" s="60"/>
      <c r="U168" s="60"/>
      <c r="V168" s="60" t="e">
        <f>IF(T161,T172,IF(V161,V172,S168))</f>
        <v>#N/A</v>
      </c>
      <c r="W168" s="60"/>
      <c r="X168" s="60"/>
      <c r="Y168" s="60" t="e">
        <f>IF(W161,W172,IF(Y161,Y172,V168))</f>
        <v>#N/A</v>
      </c>
      <c r="Z168" s="60"/>
      <c r="AA168" s="60"/>
      <c r="AB168" s="60" t="e">
        <f>IF(Z161,Z172,IF(AB161,AB172,Y168))</f>
        <v>#N/A</v>
      </c>
      <c r="AC168" s="60"/>
      <c r="AD168" s="60"/>
      <c r="AE168" s="60" t="e">
        <f>IF(AC161,AC172,IF(AE161,AE172,AB168))</f>
        <v>#N/A</v>
      </c>
      <c r="AF168" s="4"/>
      <c r="AG168" s="4"/>
      <c r="AJ168" s="4"/>
      <c r="AL168" s="4"/>
      <c r="AM168" s="4"/>
      <c r="AN168" s="4"/>
      <c r="AO168" s="4"/>
      <c r="AT168" s="55">
        <f>B168</f>
        <v>0</v>
      </c>
      <c r="AU168" s="55" t="e">
        <f>AE168</f>
        <v>#N/A</v>
      </c>
      <c r="AW168" s="59"/>
    </row>
    <row r="169" spans="1:49" s="55" customFormat="1" hidden="1" x14ac:dyDescent="0.25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4"/>
      <c r="AG169" s="4"/>
      <c r="AJ169" s="4"/>
      <c r="AL169" s="4"/>
      <c r="AM169" s="4"/>
      <c r="AN169" s="4"/>
      <c r="AO169" s="4"/>
      <c r="AW169" s="59"/>
    </row>
    <row r="170" spans="1:49" s="55" customFormat="1" hidden="1" x14ac:dyDescent="0.25">
      <c r="A170" s="60" t="s">
        <v>96</v>
      </c>
      <c r="B170" s="60">
        <f>VLOOKUP(B109,$A164:$AE168,3,FALSE)</f>
        <v>1298.5668972647138</v>
      </c>
      <c r="C170" s="60">
        <v>1</v>
      </c>
      <c r="D170" s="60">
        <f>VLOOKUP(D109,$A164:$AE168,3,FALSE)</f>
        <v>1200</v>
      </c>
      <c r="E170" s="60">
        <f>VLOOKUP(E109,$A164:$AE168,4,FALSE)</f>
        <v>1200</v>
      </c>
      <c r="F170" s="60">
        <v>2</v>
      </c>
      <c r="G170" s="60">
        <f>VLOOKUP(G109,$A164:$AE168,4,FALSE)</f>
        <v>1300</v>
      </c>
      <c r="H170" s="60">
        <f>VLOOKUP(H109,$A164:$AE168,7,FALSE)</f>
        <v>1278.1457051440116</v>
      </c>
      <c r="I170" s="60">
        <v>3</v>
      </c>
      <c r="J170" s="60">
        <f>VLOOKUP(J109,$A164:$AE168,7,FALSE)</f>
        <v>1279.5179200063076</v>
      </c>
      <c r="K170" s="60">
        <f>VLOOKUP(K109,$A164:$AE168,10,FALSE)</f>
        <v>1220.4820799936924</v>
      </c>
      <c r="L170" s="60">
        <v>4</v>
      </c>
      <c r="M170" s="60">
        <f>VLOOKUP(M109,$A164:$AE168,10,FALSE)</f>
        <v>1220.4211921207022</v>
      </c>
      <c r="N170" s="60">
        <f>VLOOKUP(N109,$A164:$AE168,13,FALSE)</f>
        <v>1204.4239961108474</v>
      </c>
      <c r="O170" s="60">
        <v>5</v>
      </c>
      <c r="P170" s="60">
        <f>VLOOKUP(P109,$A164:$AE168,13,FALSE)</f>
        <v>1263.4547275051602</v>
      </c>
      <c r="Q170" s="60">
        <f>VLOOKUP(Q109,$A164:$AE168,16,FALSE)</f>
        <v>1236.4792760035473</v>
      </c>
      <c r="R170" s="60">
        <v>6</v>
      </c>
      <c r="S170" s="60">
        <f>VLOOKUP(S109,$A164:$AE168,16,FALSE)</f>
        <v>1294.2088976451589</v>
      </c>
      <c r="T170" s="60" t="e">
        <f>VLOOKUP(T109,$A164:$AE168,19,FALSE)</f>
        <v>#N/A</v>
      </c>
      <c r="U170" s="60">
        <v>7</v>
      </c>
      <c r="V170" s="60" t="e">
        <f>VLOOKUP(V109,$A164:$AE168,19,FALSE)</f>
        <v>#N/A</v>
      </c>
      <c r="W170" s="60" t="e">
        <f>VLOOKUP(W109,$A164:$AE168,22,FALSE)</f>
        <v>#N/A</v>
      </c>
      <c r="X170" s="60">
        <v>8</v>
      </c>
      <c r="Y170" s="60" t="e">
        <f>VLOOKUP(Y109,$A164:$AE168,22,FALSE)</f>
        <v>#N/A</v>
      </c>
      <c r="Z170" s="60" t="e">
        <f>VLOOKUP(Z109,$A164:$AE168,25,FALSE)</f>
        <v>#N/A</v>
      </c>
      <c r="AA170" s="60">
        <v>9</v>
      </c>
      <c r="AB170" s="60" t="e">
        <f>VLOOKUP(AB109,$A164:$AE168,25,FALSE)</f>
        <v>#N/A</v>
      </c>
      <c r="AC170" s="60" t="e">
        <f>VLOOKUP(AC109,$A164:$AE168,28,FALSE)</f>
        <v>#N/A</v>
      </c>
      <c r="AD170" s="60">
        <v>10</v>
      </c>
      <c r="AE170" s="60" t="e">
        <f>VLOOKUP(AE109,$A164:$AE168,28,FALSE)</f>
        <v>#N/A</v>
      </c>
      <c r="AF170" s="4"/>
      <c r="AG170" s="73"/>
      <c r="AH170" s="73"/>
      <c r="AI170" s="73"/>
      <c r="AJ170" s="73"/>
      <c r="AK170" s="73"/>
      <c r="AL170" s="73"/>
      <c r="AM170" s="73"/>
      <c r="AN170" s="74"/>
      <c r="AO170" s="74"/>
      <c r="AP170" s="74"/>
      <c r="AQ170" s="74"/>
      <c r="AW170" s="59"/>
    </row>
    <row r="171" spans="1:49" s="65" customFormat="1" hidden="1" x14ac:dyDescent="0.25">
      <c r="A171" s="61" t="s">
        <v>97</v>
      </c>
      <c r="B171" s="61">
        <f>1/(1+(10^-((B170-D170)/400)))*(B121+D121)</f>
        <v>0.63816225377194546</v>
      </c>
      <c r="C171" s="61"/>
      <c r="D171" s="61">
        <f>1/(1+(10^-((D170-B170)/400)))*(B121+D121)</f>
        <v>0.36183774622805442</v>
      </c>
      <c r="E171" s="61">
        <f>1/(1+(10^-((E170-G170)/400)))*(E121+G121)</f>
        <v>0.35993500019711488</v>
      </c>
      <c r="F171" s="61"/>
      <c r="G171" s="61">
        <f>1/(1+(10^-((G170-E170)/400)))*(E121+G121)</f>
        <v>0.64006499980288512</v>
      </c>
      <c r="H171" s="61">
        <f>1/(1+(10^-((H170-J170)/400)))*(H121+J121)</f>
        <v>0.49802523433914381</v>
      </c>
      <c r="I171" s="61"/>
      <c r="J171" s="61">
        <f>1/(1+(10^-((J170-H170)/400)))*(H121+J121)</f>
        <v>0.50197476566085619</v>
      </c>
      <c r="K171" s="61">
        <f>1/(1+(10^-((K170-M170)/400)))*(K121+M121)</f>
        <v>0.50008762469203505</v>
      </c>
      <c r="L171" s="61"/>
      <c r="M171" s="61">
        <f>1/(1+(10^-((M170-K170)/400)))*(K121+M121)</f>
        <v>0.49991237530796495</v>
      </c>
      <c r="N171" s="61">
        <f>1/(1+(10^-((N170-P170)/400)))*(N121+P121)</f>
        <v>0.41585606703207728</v>
      </c>
      <c r="O171" s="61"/>
      <c r="P171" s="61">
        <f>1/(1+(10^-((P170-N170)/400)))*(N121+P121)</f>
        <v>0.58414393296792266</v>
      </c>
      <c r="Q171" s="61">
        <f>1/(1+(10^-((Q170-S170)/400)))*(Q121+S121)</f>
        <v>0.41767662410351275</v>
      </c>
      <c r="R171" s="61"/>
      <c r="S171" s="61">
        <f>1/(1+(10^-((S170-Q170)/400)))*(Q121+S121)</f>
        <v>0.58232337589648719</v>
      </c>
      <c r="T171" s="61" t="e">
        <f>1/(1+(10^-((T170-V170)/400)))*(T121+V121)</f>
        <v>#N/A</v>
      </c>
      <c r="U171" s="61"/>
      <c r="V171" s="61" t="e">
        <f>1/(1+(10^-((V170-T170)/400)))*(T121+V121)</f>
        <v>#N/A</v>
      </c>
      <c r="W171" s="61" t="e">
        <f>1/(1+(10^-((W170-Y170)/400)))*(W121+Y121)</f>
        <v>#N/A</v>
      </c>
      <c r="X171" s="61"/>
      <c r="Y171" s="61" t="e">
        <f>1/(1+(10^-((Y170-W170)/400)))*(W121+Y121)</f>
        <v>#N/A</v>
      </c>
      <c r="Z171" s="61" t="e">
        <f>1/(1+(10^-((Z170-AB170)/400)))*(Z121+AB121)</f>
        <v>#N/A</v>
      </c>
      <c r="AA171" s="61"/>
      <c r="AB171" s="61" t="e">
        <f>1/(1+(10^-((AB170-Z170)/400)))*(Z121+AB121)</f>
        <v>#N/A</v>
      </c>
      <c r="AC171" s="61" t="e">
        <f>1/(1+(10^-((AC170-AE170)/400)))*(AC121+AE121)</f>
        <v>#N/A</v>
      </c>
      <c r="AD171" s="61"/>
      <c r="AE171" s="61" t="e">
        <f>1/(1+(10^-((AE170-AC170)/400)))*(AC121+AE121)</f>
        <v>#N/A</v>
      </c>
      <c r="AF171" s="62"/>
      <c r="AG171" s="63"/>
      <c r="AH171" s="63"/>
      <c r="AI171" s="63"/>
      <c r="AJ171" s="63"/>
      <c r="AK171" s="63"/>
      <c r="AL171" s="63"/>
      <c r="AM171" s="63"/>
      <c r="AN171" s="64"/>
      <c r="AO171" s="64"/>
      <c r="AP171" s="64"/>
      <c r="AQ171" s="64"/>
      <c r="AW171" s="66"/>
    </row>
    <row r="172" spans="1:49" s="71" customFormat="1" hidden="1" x14ac:dyDescent="0.25">
      <c r="A172" s="67" t="s">
        <v>98</v>
      </c>
      <c r="B172" s="67">
        <f>B170+(B121-B171)*$BA$1</f>
        <v>1278.1457051440116</v>
      </c>
      <c r="C172" s="67"/>
      <c r="D172" s="67">
        <f>D170+(D121-D171)*$BA$1</f>
        <v>1220.4211921207022</v>
      </c>
      <c r="E172" s="67">
        <f>E170+(E121-E171)*$BA$1</f>
        <v>1220.4820799936924</v>
      </c>
      <c r="F172" s="67"/>
      <c r="G172" s="67">
        <f>G170+(G121-G171)*$BA$1</f>
        <v>1279.5179200063076</v>
      </c>
      <c r="H172" s="67">
        <f>H170+(H121-H171)*$BA$1</f>
        <v>1294.2088976451589</v>
      </c>
      <c r="I172" s="67"/>
      <c r="J172" s="67">
        <f>J170+(J121-J171)*$BA$1</f>
        <v>1263.4547275051602</v>
      </c>
      <c r="K172" s="67">
        <f>K170+(K121-K171)*$BA$1</f>
        <v>1236.4792760035473</v>
      </c>
      <c r="L172" s="67"/>
      <c r="M172" s="67">
        <f>M170+(M121-M171)*$BA$1</f>
        <v>1204.4239961108474</v>
      </c>
      <c r="N172" s="67">
        <f>N170+(N121-N171)*$BA$1</f>
        <v>1223.116601965821</v>
      </c>
      <c r="O172" s="67"/>
      <c r="P172" s="67">
        <f>P170+(P121-P171)*$BA$1</f>
        <v>1244.7621216501866</v>
      </c>
      <c r="Q172" s="67">
        <f>Q170+(Q121-Q171)*$BA$1</f>
        <v>1223.1136240322348</v>
      </c>
      <c r="R172" s="67"/>
      <c r="S172" s="67">
        <f>S170+(S121-S171)*$BA$1</f>
        <v>1307.5745496164714</v>
      </c>
      <c r="T172" s="67" t="e">
        <f>T170+(T121-T171)*$BA$1</f>
        <v>#N/A</v>
      </c>
      <c r="U172" s="67"/>
      <c r="V172" s="67" t="e">
        <f>V170+(V121-V171)*$BA$1</f>
        <v>#N/A</v>
      </c>
      <c r="W172" s="67" t="e">
        <f>W170+(W121-W171)*$BA$1</f>
        <v>#N/A</v>
      </c>
      <c r="X172" s="67"/>
      <c r="Y172" s="67" t="e">
        <f>Y170+(Y121-Y171)*$BA$1</f>
        <v>#N/A</v>
      </c>
      <c r="Z172" s="67" t="e">
        <f>Z170+(Z121-Z171)*$BA$1</f>
        <v>#N/A</v>
      </c>
      <c r="AA172" s="67"/>
      <c r="AB172" s="67" t="e">
        <f>AB170+(AB121-AB171)*$BA$1</f>
        <v>#N/A</v>
      </c>
      <c r="AC172" s="67" t="e">
        <f>AC170+(AC121-AC171)*$BA$1</f>
        <v>#N/A</v>
      </c>
      <c r="AD172" s="67"/>
      <c r="AE172" s="67" t="e">
        <f>AE170+(AE121-AE171)*$BA$1</f>
        <v>#N/A</v>
      </c>
      <c r="AF172" s="68"/>
      <c r="AG172" s="69"/>
      <c r="AH172" s="69"/>
      <c r="AI172" s="69"/>
      <c r="AJ172" s="69"/>
      <c r="AK172" s="69"/>
      <c r="AL172" s="69"/>
      <c r="AM172" s="69"/>
      <c r="AN172" s="70"/>
      <c r="AO172" s="70"/>
      <c r="AP172" s="70"/>
      <c r="AQ172" s="70"/>
      <c r="AW172" s="72"/>
    </row>
    <row r="173" spans="1:49" s="71" customFormat="1" hidden="1" x14ac:dyDescent="0.25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8"/>
      <c r="AG173" s="69"/>
      <c r="AH173" s="69"/>
      <c r="AI173" s="69"/>
      <c r="AJ173" s="69"/>
      <c r="AK173" s="69"/>
      <c r="AL173" s="69"/>
      <c r="AM173" s="69"/>
      <c r="AN173" s="70"/>
      <c r="AO173" s="70"/>
      <c r="AP173" s="70"/>
      <c r="AQ173" s="70"/>
      <c r="AW173" s="72"/>
    </row>
    <row r="174" spans="1:49" s="55" customFormat="1" x14ac:dyDescent="0.25">
      <c r="A174" s="151" t="str">
        <f>IF($AK95=1,"Pool Tiereaker : 1) Matches Won vs Lost (if 3 way tie then #4)  2) Head to Head  3) Game Win %  4) Total Pool Net Points  5) Flip a Coin","Pool Tiebreaker : 1) Games Won vs Lost (if 3 way tie then #5)  2) Head to Head  3) Head to Head Net Points  4) Game Win %  5) Total Pool Net Points  6) Flip a Coin")</f>
        <v>Pool Tiereaker : 1) Matches Won vs Lost (if 3 way tie then #4)  2) Head to Head  3) Game Win %  4) Total Pool Net Points  5) Flip a Coin</v>
      </c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2"/>
      <c r="AO174" s="152"/>
      <c r="AP174" s="152"/>
      <c r="AQ174" s="152"/>
    </row>
  </sheetData>
  <sheetProtection formatCells="0" selectLockedCells="1"/>
  <mergeCells count="284">
    <mergeCell ref="Z108:AB108"/>
    <mergeCell ref="AC108:AE108"/>
    <mergeCell ref="AG142:AK142"/>
    <mergeCell ref="A174:AM174"/>
    <mergeCell ref="AN174:AQ174"/>
    <mergeCell ref="Z107:AB107"/>
    <mergeCell ref="AC107:AE107"/>
    <mergeCell ref="B108:D108"/>
    <mergeCell ref="E108:G108"/>
    <mergeCell ref="H108:J108"/>
    <mergeCell ref="K108:M108"/>
    <mergeCell ref="N108:P108"/>
    <mergeCell ref="Q108:S108"/>
    <mergeCell ref="T108:V108"/>
    <mergeCell ref="W108:Y108"/>
    <mergeCell ref="Z106:AB106"/>
    <mergeCell ref="AC106:AE106"/>
    <mergeCell ref="B107:D107"/>
    <mergeCell ref="E107:G107"/>
    <mergeCell ref="H107:J107"/>
    <mergeCell ref="K107:M107"/>
    <mergeCell ref="N107:P107"/>
    <mergeCell ref="Q107:S107"/>
    <mergeCell ref="T107:V107"/>
    <mergeCell ref="W107:Y107"/>
    <mergeCell ref="Z105:AB105"/>
    <mergeCell ref="AC105:AE105"/>
    <mergeCell ref="B106:D106"/>
    <mergeCell ref="E106:G106"/>
    <mergeCell ref="H106:J106"/>
    <mergeCell ref="K106:M106"/>
    <mergeCell ref="N106:P106"/>
    <mergeCell ref="Q106:S106"/>
    <mergeCell ref="T106:V106"/>
    <mergeCell ref="W106:Y106"/>
    <mergeCell ref="AC104:AE104"/>
    <mergeCell ref="AF104:AQ107"/>
    <mergeCell ref="B105:D105"/>
    <mergeCell ref="E105:G105"/>
    <mergeCell ref="H105:J105"/>
    <mergeCell ref="K105:M105"/>
    <mergeCell ref="N105:P105"/>
    <mergeCell ref="Q105:S105"/>
    <mergeCell ref="T105:V105"/>
    <mergeCell ref="W105:Y105"/>
    <mergeCell ref="B103:AI103"/>
    <mergeCell ref="B104:D104"/>
    <mergeCell ref="E104:G104"/>
    <mergeCell ref="H104:J104"/>
    <mergeCell ref="K104:M104"/>
    <mergeCell ref="N104:P104"/>
    <mergeCell ref="Q104:S104"/>
    <mergeCell ref="T104:V104"/>
    <mergeCell ref="W104:Y104"/>
    <mergeCell ref="Z104:AB104"/>
    <mergeCell ref="Z101:AB102"/>
    <mergeCell ref="AC101:AE102"/>
    <mergeCell ref="AF101:AF102"/>
    <mergeCell ref="AG101:AG102"/>
    <mergeCell ref="AH101:AI102"/>
    <mergeCell ref="B102:D102"/>
    <mergeCell ref="E102:K102"/>
    <mergeCell ref="A101:A102"/>
    <mergeCell ref="B101:D101"/>
    <mergeCell ref="E101:K101"/>
    <mergeCell ref="L101:P102"/>
    <mergeCell ref="R101:V102"/>
    <mergeCell ref="W101:Y102"/>
    <mergeCell ref="AC99:AE100"/>
    <mergeCell ref="AF99:AF100"/>
    <mergeCell ref="AG99:AG100"/>
    <mergeCell ref="AH99:AI100"/>
    <mergeCell ref="B100:D100"/>
    <mergeCell ref="E100:K100"/>
    <mergeCell ref="AH97:AI98"/>
    <mergeCell ref="B98:D98"/>
    <mergeCell ref="E98:K98"/>
    <mergeCell ref="A99:A100"/>
    <mergeCell ref="B99:D99"/>
    <mergeCell ref="E99:K99"/>
    <mergeCell ref="L99:P100"/>
    <mergeCell ref="R99:V100"/>
    <mergeCell ref="W99:Y100"/>
    <mergeCell ref="Z99:AB100"/>
    <mergeCell ref="R97:V98"/>
    <mergeCell ref="W97:Y98"/>
    <mergeCell ref="Z97:AB98"/>
    <mergeCell ref="AC97:AE98"/>
    <mergeCell ref="AF97:AF98"/>
    <mergeCell ref="AG97:AG98"/>
    <mergeCell ref="B96:D96"/>
    <mergeCell ref="E96:K96"/>
    <mergeCell ref="A97:A98"/>
    <mergeCell ref="B97:D97"/>
    <mergeCell ref="E97:K97"/>
    <mergeCell ref="L97:P98"/>
    <mergeCell ref="W95:Y96"/>
    <mergeCell ref="Z95:AB96"/>
    <mergeCell ref="AC95:AE96"/>
    <mergeCell ref="AF95:AF96"/>
    <mergeCell ref="AG95:AG96"/>
    <mergeCell ref="AH95:AI96"/>
    <mergeCell ref="AF93:AF94"/>
    <mergeCell ref="AG93:AG94"/>
    <mergeCell ref="AH93:AI94"/>
    <mergeCell ref="B94:D94"/>
    <mergeCell ref="E94:K94"/>
    <mergeCell ref="A95:A96"/>
    <mergeCell ref="B95:D95"/>
    <mergeCell ref="E95:K95"/>
    <mergeCell ref="L95:P96"/>
    <mergeCell ref="R95:V96"/>
    <mergeCell ref="AC92:AE92"/>
    <mergeCell ref="AH92:AI92"/>
    <mergeCell ref="A93:A94"/>
    <mergeCell ref="B93:D93"/>
    <mergeCell ref="E93:K93"/>
    <mergeCell ref="L93:P94"/>
    <mergeCell ref="R93:V94"/>
    <mergeCell ref="W93:Y94"/>
    <mergeCell ref="Z93:AB94"/>
    <mergeCell ref="AC93:AE94"/>
    <mergeCell ref="A90:AQ90"/>
    <mergeCell ref="C91:H91"/>
    <mergeCell ref="I91:J91"/>
    <mergeCell ref="K91:AI91"/>
    <mergeCell ref="B92:K92"/>
    <mergeCell ref="L92:P92"/>
    <mergeCell ref="Q92:Q102"/>
    <mergeCell ref="R92:V92"/>
    <mergeCell ref="W92:Y92"/>
    <mergeCell ref="Z92:AB92"/>
    <mergeCell ref="Z23:AB23"/>
    <mergeCell ref="AC23:AE23"/>
    <mergeCell ref="AT23:AV24"/>
    <mergeCell ref="AG57:AK57"/>
    <mergeCell ref="A89:AM89"/>
    <mergeCell ref="AN89:AQ89"/>
    <mergeCell ref="Z22:AB22"/>
    <mergeCell ref="AC22:AE22"/>
    <mergeCell ref="B23:D23"/>
    <mergeCell ref="E23:G23"/>
    <mergeCell ref="H23:J23"/>
    <mergeCell ref="K23:M23"/>
    <mergeCell ref="N23:P23"/>
    <mergeCell ref="Q23:S23"/>
    <mergeCell ref="T23:V23"/>
    <mergeCell ref="W23:Y23"/>
    <mergeCell ref="Z21:AB21"/>
    <mergeCell ref="AC21:AE21"/>
    <mergeCell ref="B22:D22"/>
    <mergeCell ref="E22:G22"/>
    <mergeCell ref="H22:J22"/>
    <mergeCell ref="K22:M22"/>
    <mergeCell ref="N22:P22"/>
    <mergeCell ref="Q22:S22"/>
    <mergeCell ref="T22:V22"/>
    <mergeCell ref="W22:Y22"/>
    <mergeCell ref="Z20:AB20"/>
    <mergeCell ref="AC20:AE20"/>
    <mergeCell ref="B21:D21"/>
    <mergeCell ref="E21:G21"/>
    <mergeCell ref="H21:J21"/>
    <mergeCell ref="K21:M21"/>
    <mergeCell ref="N21:P21"/>
    <mergeCell ref="Q21:S21"/>
    <mergeCell ref="T21:V21"/>
    <mergeCell ref="W21:Y21"/>
    <mergeCell ref="AC19:AE19"/>
    <mergeCell ref="AF19:AQ22"/>
    <mergeCell ref="B20:D20"/>
    <mergeCell ref="E20:G20"/>
    <mergeCell ref="H20:J20"/>
    <mergeCell ref="K20:M20"/>
    <mergeCell ref="N20:P20"/>
    <mergeCell ref="Q20:S20"/>
    <mergeCell ref="T20:V20"/>
    <mergeCell ref="W20:Y20"/>
    <mergeCell ref="B18:AI18"/>
    <mergeCell ref="B19:D19"/>
    <mergeCell ref="E19:G19"/>
    <mergeCell ref="H19:J19"/>
    <mergeCell ref="K19:M19"/>
    <mergeCell ref="N19:P19"/>
    <mergeCell ref="Q19:S19"/>
    <mergeCell ref="T19:V19"/>
    <mergeCell ref="W19:Y19"/>
    <mergeCell ref="Z19:AB19"/>
    <mergeCell ref="Z16:AB17"/>
    <mergeCell ref="AC16:AE17"/>
    <mergeCell ref="AF16:AF17"/>
    <mergeCell ref="AG16:AG17"/>
    <mergeCell ref="AH16:AI17"/>
    <mergeCell ref="B17:D17"/>
    <mergeCell ref="E17:K17"/>
    <mergeCell ref="A16:A17"/>
    <mergeCell ref="B16:D16"/>
    <mergeCell ref="E16:K16"/>
    <mergeCell ref="L16:P17"/>
    <mergeCell ref="R16:V17"/>
    <mergeCell ref="W16:Y17"/>
    <mergeCell ref="Z14:AB15"/>
    <mergeCell ref="AC14:AE15"/>
    <mergeCell ref="AF14:AF15"/>
    <mergeCell ref="AG14:AG15"/>
    <mergeCell ref="AH14:AI15"/>
    <mergeCell ref="B15:D15"/>
    <mergeCell ref="E15:K15"/>
    <mergeCell ref="A14:A15"/>
    <mergeCell ref="B14:D14"/>
    <mergeCell ref="E14:K14"/>
    <mergeCell ref="L14:P15"/>
    <mergeCell ref="R14:V15"/>
    <mergeCell ref="W14:Y15"/>
    <mergeCell ref="Z12:AB13"/>
    <mergeCell ref="AC12:AE13"/>
    <mergeCell ref="AF12:AF13"/>
    <mergeCell ref="AG12:AG13"/>
    <mergeCell ref="AH12:AI13"/>
    <mergeCell ref="B13:D13"/>
    <mergeCell ref="E13:K13"/>
    <mergeCell ref="A12:A13"/>
    <mergeCell ref="B12:D12"/>
    <mergeCell ref="E12:K12"/>
    <mergeCell ref="L12:P13"/>
    <mergeCell ref="R12:V13"/>
    <mergeCell ref="W12:Y13"/>
    <mergeCell ref="Z10:AB11"/>
    <mergeCell ref="AC10:AE11"/>
    <mergeCell ref="AF10:AF11"/>
    <mergeCell ref="AG10:AG11"/>
    <mergeCell ref="AH10:AI11"/>
    <mergeCell ref="B11:D11"/>
    <mergeCell ref="E11:K11"/>
    <mergeCell ref="A10:A11"/>
    <mergeCell ref="B10:D10"/>
    <mergeCell ref="E10:K10"/>
    <mergeCell ref="L10:P11"/>
    <mergeCell ref="R10:V11"/>
    <mergeCell ref="W10:Y11"/>
    <mergeCell ref="AC8:AE9"/>
    <mergeCell ref="AF8:AF9"/>
    <mergeCell ref="AG8:AG9"/>
    <mergeCell ref="AH8:AI9"/>
    <mergeCell ref="B9:D9"/>
    <mergeCell ref="E9:K9"/>
    <mergeCell ref="Z7:AB7"/>
    <mergeCell ref="AC7:AE7"/>
    <mergeCell ref="AH7:AI7"/>
    <mergeCell ref="A8:A9"/>
    <mergeCell ref="B8:D8"/>
    <mergeCell ref="E8:K8"/>
    <mergeCell ref="L8:P9"/>
    <mergeCell ref="R8:V9"/>
    <mergeCell ref="W8:Y9"/>
    <mergeCell ref="Z8:AB9"/>
    <mergeCell ref="B5:J5"/>
    <mergeCell ref="K5:AE5"/>
    <mergeCell ref="C6:H6"/>
    <mergeCell ref="I6:J6"/>
    <mergeCell ref="K6:AI6"/>
    <mergeCell ref="B7:K7"/>
    <mergeCell ref="L7:P7"/>
    <mergeCell ref="Q7:Q17"/>
    <mergeCell ref="R7:V7"/>
    <mergeCell ref="W7:Y7"/>
    <mergeCell ref="A4:D4"/>
    <mergeCell ref="E4:M4"/>
    <mergeCell ref="N4:Q4"/>
    <mergeCell ref="R4:AA4"/>
    <mergeCell ref="AB4:AE4"/>
    <mergeCell ref="AF4:AI4"/>
    <mergeCell ref="B3:O3"/>
    <mergeCell ref="P3:R3"/>
    <mergeCell ref="S3:X3"/>
    <mergeCell ref="Y3:AD3"/>
    <mergeCell ref="AE3:AF3"/>
    <mergeCell ref="AG3:AI3"/>
    <mergeCell ref="A1:AI1"/>
    <mergeCell ref="AT1:AV1"/>
    <mergeCell ref="A2:I2"/>
    <mergeCell ref="J2:X2"/>
    <mergeCell ref="Y2:AC2"/>
    <mergeCell ref="AD2:AI2"/>
  </mergeCells>
  <conditionalFormatting sqref="A93 A8">
    <cfRule type="expression" dxfId="2007" priority="351" stopIfTrue="1">
      <formula>IF(AK9&gt;0,0,1)</formula>
    </cfRule>
  </conditionalFormatting>
  <conditionalFormatting sqref="A95:A96 A10:A11">
    <cfRule type="expression" dxfId="2006" priority="350" stopIfTrue="1">
      <formula>IF(AK9&gt;1,0,1)</formula>
    </cfRule>
  </conditionalFormatting>
  <conditionalFormatting sqref="A97:A98 A12:A13">
    <cfRule type="expression" dxfId="2005" priority="349" stopIfTrue="1">
      <formula>IF(AK9&gt;2,0,1)</formula>
    </cfRule>
  </conditionalFormatting>
  <conditionalFormatting sqref="A99:A100 A14:A15">
    <cfRule type="expression" dxfId="2004" priority="348" stopIfTrue="1">
      <formula>IF(AK9&gt;3,0,1)</formula>
    </cfRule>
  </conditionalFormatting>
  <conditionalFormatting sqref="A101:A102 A16:A17">
    <cfRule type="expression" dxfId="2003" priority="347" stopIfTrue="1">
      <formula>IF(AK9&gt;4,0,1)</formula>
    </cfRule>
  </conditionalFormatting>
  <conditionalFormatting sqref="B8 B93">
    <cfRule type="expression" dxfId="2002" priority="346" stopIfTrue="1">
      <formula>IF(AK9&gt;0,0,1)</formula>
    </cfRule>
  </conditionalFormatting>
  <conditionalFormatting sqref="B9 B94">
    <cfRule type="expression" dxfId="2001" priority="345" stopIfTrue="1">
      <formula>IF(AK9&gt;0,0,1)</formula>
    </cfRule>
  </conditionalFormatting>
  <conditionalFormatting sqref="B10 B95">
    <cfRule type="expression" dxfId="2000" priority="344" stopIfTrue="1">
      <formula>IF(AK9&gt;1,0,1)</formula>
    </cfRule>
  </conditionalFormatting>
  <conditionalFormatting sqref="B11:D11 B96:D96">
    <cfRule type="expression" dxfId="1999" priority="343" stopIfTrue="1">
      <formula>IF(AK9&gt;1,0,1)</formula>
    </cfRule>
  </conditionalFormatting>
  <conditionalFormatting sqref="B12:D12 B97:D97">
    <cfRule type="expression" dxfId="1998" priority="342" stopIfTrue="1">
      <formula>IF(AK9&gt;2,0,1)</formula>
    </cfRule>
  </conditionalFormatting>
  <conditionalFormatting sqref="B13:D13 B98:D98">
    <cfRule type="expression" dxfId="1997" priority="341" stopIfTrue="1">
      <formula>IF(AK9&gt;2,0,1)</formula>
    </cfRule>
  </conditionalFormatting>
  <conditionalFormatting sqref="B14:D14 B99:D99">
    <cfRule type="expression" dxfId="1996" priority="340" stopIfTrue="1">
      <formula>IF(AK9&gt;3,0,1)</formula>
    </cfRule>
  </conditionalFormatting>
  <conditionalFormatting sqref="B15:D15 B100:D100">
    <cfRule type="expression" dxfId="1995" priority="339" stopIfTrue="1">
      <formula>IF(AK9&gt;3,0,1)</formula>
    </cfRule>
  </conditionalFormatting>
  <conditionalFormatting sqref="B16:D16 B101:D101">
    <cfRule type="expression" dxfId="1994" priority="338" stopIfTrue="1">
      <formula>IF(AK9&gt;4,0,1)</formula>
    </cfRule>
  </conditionalFormatting>
  <conditionalFormatting sqref="B17:D17 B102:D102">
    <cfRule type="expression" dxfId="1993" priority="337" stopIfTrue="1">
      <formula>IF(AK9&gt;4,0,1)</formula>
    </cfRule>
  </conditionalFormatting>
  <conditionalFormatting sqref="E16 E101">
    <cfRule type="expression" dxfId="1992" priority="328" stopIfTrue="1">
      <formula>IF(AK9&gt;4,0,1)</formula>
    </cfRule>
  </conditionalFormatting>
  <conditionalFormatting sqref="E17 E102">
    <cfRule type="expression" dxfId="1991" priority="327" stopIfTrue="1">
      <formula>IF(AK9&gt;4,0,1)</formula>
    </cfRule>
  </conditionalFormatting>
  <conditionalFormatting sqref="AC93 AC8">
    <cfRule type="expression" dxfId="1990" priority="326" stopIfTrue="1">
      <formula>IF(AK11=1,IF(AK9&gt;0,0,1),1)</formula>
    </cfRule>
  </conditionalFormatting>
  <conditionalFormatting sqref="AC95:AE96 AC10:AE11">
    <cfRule type="expression" dxfId="1989" priority="325" stopIfTrue="1">
      <formula>IF(AK11=1,IF(AK9&gt;1,0,1),1)</formula>
    </cfRule>
  </conditionalFormatting>
  <conditionalFormatting sqref="AC97:AE98 AC12:AE13">
    <cfRule type="expression" dxfId="1988" priority="324" stopIfTrue="1">
      <formula>IF(AK11=1,IF(AK9&gt;2,0,1),1)</formula>
    </cfRule>
  </conditionalFormatting>
  <conditionalFormatting sqref="AC99:AE100 AC14:AE15">
    <cfRule type="expression" dxfId="1987" priority="323" stopIfTrue="1">
      <formula>IF(AK11=1,IF(AK9&gt;3,0,1),1)</formula>
    </cfRule>
  </conditionalFormatting>
  <conditionalFormatting sqref="AC101:AE102 AC16:AE17">
    <cfRule type="expression" dxfId="1986" priority="322" stopIfTrue="1">
      <formula>IF(AK11=1,IF(AK9&gt;4,0,1),1)</formula>
    </cfRule>
  </conditionalFormatting>
  <conditionalFormatting sqref="AH93 AH8">
    <cfRule type="expression" dxfId="1985" priority="321" stopIfTrue="1">
      <formula>IF(AK9&gt;0,0,1)</formula>
    </cfRule>
  </conditionalFormatting>
  <conditionalFormatting sqref="AH95:AI96 AH10:AI11">
    <cfRule type="expression" dxfId="1984" priority="320" stopIfTrue="1">
      <formula>IF(AK9&gt;1,0,1)</formula>
    </cfRule>
  </conditionalFormatting>
  <conditionalFormatting sqref="AH97:AI98 AH12:AI13">
    <cfRule type="expression" dxfId="1983" priority="319" stopIfTrue="1">
      <formula>IF(AK9&gt;2,0,1)</formula>
    </cfRule>
  </conditionalFormatting>
  <conditionalFormatting sqref="AH99:AI100 AH14:AI15">
    <cfRule type="expression" dxfId="1982" priority="318" stopIfTrue="1">
      <formula>IF(AK9&gt;3,0,1)</formula>
    </cfRule>
  </conditionalFormatting>
  <conditionalFormatting sqref="AH101:AI102 AH16:AI17">
    <cfRule type="expression" dxfId="1981" priority="317" stopIfTrue="1">
      <formula>IF(AK9&gt;4,0,1)</formula>
    </cfRule>
  </conditionalFormatting>
  <conditionalFormatting sqref="K19:M19 K104:M104">
    <cfRule type="expression" dxfId="1980" priority="316" stopIfTrue="1">
      <formula>IF(AK8&gt;3,0,1)</formula>
    </cfRule>
  </conditionalFormatting>
  <conditionalFormatting sqref="N19:P19 N104:P104">
    <cfRule type="expression" dxfId="1979" priority="315" stopIfTrue="1">
      <formula>IF(AK8&gt;4,0,1)</formula>
    </cfRule>
  </conditionalFormatting>
  <conditionalFormatting sqref="Q19:S19 Q104:S104">
    <cfRule type="expression" dxfId="1978" priority="314" stopIfTrue="1">
      <formula>IF(AK8&gt;5,0,1)</formula>
    </cfRule>
  </conditionalFormatting>
  <conditionalFormatting sqref="T19:V19 T104:V104">
    <cfRule type="expression" dxfId="1977" priority="313" stopIfTrue="1">
      <formula>IF(AK8&gt;6,0,1)</formula>
    </cfRule>
  </conditionalFormatting>
  <conditionalFormatting sqref="W19:Y19 W104:Y104">
    <cfRule type="expression" dxfId="1976" priority="312" stopIfTrue="1">
      <formula>IF(AK8&gt;7,0,1)</formula>
    </cfRule>
  </conditionalFormatting>
  <conditionalFormatting sqref="Z19:AB19 Z104:AB104">
    <cfRule type="expression" dxfId="1975" priority="311" stopIfTrue="1">
      <formula>IF(AK8&gt;8,0,1)</formula>
    </cfRule>
  </conditionalFormatting>
  <conditionalFormatting sqref="AC19:AE19 AC104:AE104">
    <cfRule type="expression" dxfId="1974" priority="310" stopIfTrue="1">
      <formula>IF(AK8&gt;9,0,1)</formula>
    </cfRule>
  </conditionalFormatting>
  <conditionalFormatting sqref="B20:D20 B105:D105">
    <cfRule type="expression" dxfId="1973" priority="309" stopIfTrue="1">
      <formula>IF(AK8&gt;0,0,1)</formula>
    </cfRule>
  </conditionalFormatting>
  <conditionalFormatting sqref="E20:G20 E105:G105">
    <cfRule type="expression" dxfId="1972" priority="308" stopIfTrue="1">
      <formula>IF(AK8&gt;1,0,1)</formula>
    </cfRule>
  </conditionalFormatting>
  <conditionalFormatting sqref="H20:J20 H105:J105">
    <cfRule type="expression" dxfId="1971" priority="307" stopIfTrue="1">
      <formula>IF(AK8&gt;2,0,1)</formula>
    </cfRule>
  </conditionalFormatting>
  <conditionalFormatting sqref="K105:M105 K20:M20">
    <cfRule type="expression" dxfId="1970" priority="306" stopIfTrue="1">
      <formula>IF(AK8&gt;3,0,1)</formula>
    </cfRule>
  </conditionalFormatting>
  <conditionalFormatting sqref="N105:P105 N20:P20">
    <cfRule type="expression" dxfId="1969" priority="305" stopIfTrue="1">
      <formula>IF(AK8&gt;4,0,1)</formula>
    </cfRule>
  </conditionalFormatting>
  <conditionalFormatting sqref="Q105:S105 Q20:S20">
    <cfRule type="expression" dxfId="1968" priority="304" stopIfTrue="1">
      <formula>IF(AK8&gt;5,0,1)</formula>
    </cfRule>
  </conditionalFormatting>
  <conditionalFormatting sqref="T105:V105 T20:V20">
    <cfRule type="expression" dxfId="1967" priority="303" stopIfTrue="1">
      <formula>IF(AK8&gt;6,0,1)</formula>
    </cfRule>
  </conditionalFormatting>
  <conditionalFormatting sqref="W105:Y105 W20:Y20">
    <cfRule type="expression" dxfId="1966" priority="302" stopIfTrue="1">
      <formula>IF(AK8&gt;7,0,1)</formula>
    </cfRule>
  </conditionalFormatting>
  <conditionalFormatting sqref="Z105:AB105 Z20:AB20">
    <cfRule type="expression" dxfId="1965" priority="301" stopIfTrue="1">
      <formula>IF(AK8&gt;8,0,1)</formula>
    </cfRule>
  </conditionalFormatting>
  <conditionalFormatting sqref="AC105:AE105 AC20:AE20">
    <cfRule type="expression" dxfId="1964" priority="300" stopIfTrue="1">
      <formula>IF(AK8&gt;9,0,1)</formula>
    </cfRule>
  </conditionalFormatting>
  <conditionalFormatting sqref="T22:V22 T107:V107">
    <cfRule type="expression" dxfId="1963" priority="294" stopIfTrue="1">
      <formula>IF(AK8&gt;6,0,1)</formula>
    </cfRule>
  </conditionalFormatting>
  <conditionalFormatting sqref="W22:Y22 W107:Y107">
    <cfRule type="expression" dxfId="1962" priority="293" stopIfTrue="1">
      <formula>IF(AK8&gt;7,0,1)</formula>
    </cfRule>
  </conditionalFormatting>
  <conditionalFormatting sqref="Z22:AB22 Z107:AB107">
    <cfRule type="expression" dxfId="1961" priority="292" stopIfTrue="1">
      <formula>IF(AK8&gt;8,0,1)</formula>
    </cfRule>
  </conditionalFormatting>
  <conditionalFormatting sqref="AC22:AE22 AC107:AE107">
    <cfRule type="expression" dxfId="1960" priority="291" stopIfTrue="1">
      <formula>IF(AK8&gt;9,0,1)</formula>
    </cfRule>
  </conditionalFormatting>
  <conditionalFormatting sqref="T108:V108 T23:V23">
    <cfRule type="expression" dxfId="1959" priority="272" stopIfTrue="1">
      <formula>IF(AK8&gt;6,0,1)</formula>
    </cfRule>
  </conditionalFormatting>
  <conditionalFormatting sqref="U24 U109">
    <cfRule type="expression" dxfId="1958" priority="271" stopIfTrue="1">
      <formula>IF(AK8&gt;6,0,1)</formula>
    </cfRule>
  </conditionalFormatting>
  <conditionalFormatting sqref="V24 V109">
    <cfRule type="expression" dxfId="1957" priority="270" stopIfTrue="1">
      <formula>IF(AK8&gt;6,0,1)</formula>
    </cfRule>
  </conditionalFormatting>
  <conditionalFormatting sqref="W108:Y108 W23:Y23">
    <cfRule type="expression" dxfId="1956" priority="269" stopIfTrue="1">
      <formula>IF(AK8&gt;7,0,1)</formula>
    </cfRule>
  </conditionalFormatting>
  <conditionalFormatting sqref="X24 X109">
    <cfRule type="expression" dxfId="1955" priority="268" stopIfTrue="1">
      <formula>IF(AK8&gt;7,0,1)</formula>
    </cfRule>
  </conditionalFormatting>
  <conditionalFormatting sqref="Y24 Y109">
    <cfRule type="expression" dxfId="1954" priority="267" stopIfTrue="1">
      <formula>IF(AK8&gt;7,0,1)</formula>
    </cfRule>
  </conditionalFormatting>
  <conditionalFormatting sqref="Z108:AB108 Z23:AB23">
    <cfRule type="expression" dxfId="1953" priority="266" stopIfTrue="1">
      <formula>IF(AK8&gt;8,0,1)</formula>
    </cfRule>
  </conditionalFormatting>
  <conditionalFormatting sqref="AA24 AA109">
    <cfRule type="expression" dxfId="1952" priority="265" stopIfTrue="1">
      <formula>IF(AK8&gt;8,0,1)</formula>
    </cfRule>
  </conditionalFormatting>
  <conditionalFormatting sqref="AB24 AB109">
    <cfRule type="expression" dxfId="1951" priority="264" stopIfTrue="1">
      <formula>IF(AK8&gt;8,0,1)</formula>
    </cfRule>
  </conditionalFormatting>
  <conditionalFormatting sqref="AC108:AE108 AC23:AE23">
    <cfRule type="expression" dxfId="1950" priority="263" stopIfTrue="1">
      <formula>IF(AK8&gt;9,0,1)</formula>
    </cfRule>
  </conditionalFormatting>
  <conditionalFormatting sqref="AD24 AD109">
    <cfRule type="expression" dxfId="1949" priority="262" stopIfTrue="1">
      <formula>IF(AK8&gt;9,0,1)</formula>
    </cfRule>
  </conditionalFormatting>
  <conditionalFormatting sqref="AE24 AE109">
    <cfRule type="expression" dxfId="1948" priority="261" stopIfTrue="1">
      <formula>IF(AK8&gt;9,0,1)</formula>
    </cfRule>
  </conditionalFormatting>
  <conditionalFormatting sqref="A26 A111">
    <cfRule type="expression" dxfId="1947" priority="260" stopIfTrue="1">
      <formula>IF(AK7&gt;1,0,1)</formula>
    </cfRule>
  </conditionalFormatting>
  <conditionalFormatting sqref="A27 A112">
    <cfRule type="expression" dxfId="1946" priority="259" stopIfTrue="1">
      <formula>IF(AK7&gt;2,0,1)</formula>
    </cfRule>
  </conditionalFormatting>
  <conditionalFormatting sqref="A28 A113">
    <cfRule type="expression" dxfId="1945" priority="258" stopIfTrue="1">
      <formula>IF(AK7&gt;3,0,1)</formula>
    </cfRule>
  </conditionalFormatting>
  <conditionalFormatting sqref="A29 A114">
    <cfRule type="expression" dxfId="1944" priority="257" stopIfTrue="1">
      <formula>IF(AK7&gt;4,0,1)</formula>
    </cfRule>
  </conditionalFormatting>
  <conditionalFormatting sqref="B26:D26 B111:D111">
    <cfRule type="expression" dxfId="1943" priority="255" stopIfTrue="1">
      <formula>IF($AK8&lt;1,1,IF($AK7&lt;2,1,0))</formula>
    </cfRule>
  </conditionalFormatting>
  <conditionalFormatting sqref="B27:D27 B112:D112">
    <cfRule type="expression" dxfId="1942" priority="254" stopIfTrue="1">
      <formula>IF($AK8&lt;1,1,IF($AK7&lt;3,1,0))</formula>
    </cfRule>
  </conditionalFormatting>
  <conditionalFormatting sqref="B28:D28 B113:D113">
    <cfRule type="expression" dxfId="1941" priority="253" stopIfTrue="1">
      <formula>IF($AK8&lt;1,1,IF($AK7&lt;4,1,0))</formula>
    </cfRule>
  </conditionalFormatting>
  <conditionalFormatting sqref="B29:D29 B114:D114">
    <cfRule type="expression" dxfId="1940" priority="252" stopIfTrue="1">
      <formula>IF($AK8&lt;1,1,IF($AK7&lt;5,1,0))</formula>
    </cfRule>
  </conditionalFormatting>
  <conditionalFormatting sqref="AF26 AF111">
    <cfRule type="expression" dxfId="1939" priority="251" stopIfTrue="1">
      <formula>IF($AK9&gt;2,0,1)</formula>
    </cfRule>
  </conditionalFormatting>
  <conditionalFormatting sqref="AF25 AF110">
    <cfRule type="expression" dxfId="1938" priority="250" stopIfTrue="1">
      <formula>IF($AK9&gt;1,0,1)</formula>
    </cfRule>
  </conditionalFormatting>
  <conditionalFormatting sqref="AF24 AF109">
    <cfRule type="expression" dxfId="1937" priority="249" stopIfTrue="1">
      <formula>IF($AK9&gt;0,0,1)</formula>
    </cfRule>
  </conditionalFormatting>
  <conditionalFormatting sqref="AF27 AF112">
    <cfRule type="expression" dxfId="1936" priority="248" stopIfTrue="1">
      <formula>IF($AK9&gt;3,0,1)</formula>
    </cfRule>
  </conditionalFormatting>
  <conditionalFormatting sqref="AF28 AF113">
    <cfRule type="expression" dxfId="1935" priority="247" stopIfTrue="1">
      <formula>IF($AK9&gt;4,0,1)</formula>
    </cfRule>
  </conditionalFormatting>
  <conditionalFormatting sqref="AG23 AG108">
    <cfRule type="expression" dxfId="1934" priority="246" stopIfTrue="1">
      <formula>IF($AK8&lt;1,1,0)</formula>
    </cfRule>
  </conditionalFormatting>
  <conditionalFormatting sqref="AH23 AH108">
    <cfRule type="expression" dxfId="1933" priority="245" stopIfTrue="1">
      <formula>IF($AK8&lt;2,1,0)</formula>
    </cfRule>
  </conditionalFormatting>
  <conditionalFormatting sqref="AI23 AI108">
    <cfRule type="expression" dxfId="1932" priority="244" stopIfTrue="1">
      <formula>IF($AK8&lt;3,1,0)</formula>
    </cfRule>
  </conditionalFormatting>
  <conditionalFormatting sqref="AJ23 AJ108">
    <cfRule type="expression" dxfId="1931" priority="243" stopIfTrue="1">
      <formula>IF($AK8&lt;4,1,0)</formula>
    </cfRule>
  </conditionalFormatting>
  <conditionalFormatting sqref="AK23 AK108">
    <cfRule type="expression" dxfId="1930" priority="242" stopIfTrue="1">
      <formula>IF($AK8&lt;5,1,0)</formula>
    </cfRule>
  </conditionalFormatting>
  <conditionalFormatting sqref="AL23 AL108">
    <cfRule type="expression" dxfId="1929" priority="241" stopIfTrue="1">
      <formula>IF($AK8&lt;6,1,0)</formula>
    </cfRule>
  </conditionalFormatting>
  <conditionalFormatting sqref="AM23 AM108">
    <cfRule type="expression" dxfId="1928" priority="240" stopIfTrue="1">
      <formula>IF($AK8&lt;7,1,0)</formula>
    </cfRule>
  </conditionalFormatting>
  <conditionalFormatting sqref="AN23 AN108">
    <cfRule type="expression" dxfId="1927" priority="239" stopIfTrue="1">
      <formula>IF($AK8&lt;8,1,0)</formula>
    </cfRule>
  </conditionalFormatting>
  <conditionalFormatting sqref="AO23 AO108">
    <cfRule type="expression" dxfId="1926" priority="238" stopIfTrue="1">
      <formula>IF($AK8&lt;9,1,0)</formula>
    </cfRule>
  </conditionalFormatting>
  <conditionalFormatting sqref="AP23 AP108">
    <cfRule type="expression" dxfId="1925" priority="237" stopIfTrue="1">
      <formula>IF($AK8&lt;10,1,0)</formula>
    </cfRule>
  </conditionalFormatting>
  <conditionalFormatting sqref="AQ24 AQ109">
    <cfRule type="expression" dxfId="1924" priority="236" stopIfTrue="1">
      <formula>IF($AK9&gt;0,0,1)</formula>
    </cfRule>
  </conditionalFormatting>
  <conditionalFormatting sqref="AQ25 AQ110">
    <cfRule type="expression" dxfId="1923" priority="235" stopIfTrue="1">
      <formula>IF($AK9&gt;1,0,1)</formula>
    </cfRule>
  </conditionalFormatting>
  <conditionalFormatting sqref="AQ26 AQ111">
    <cfRule type="expression" dxfId="1922" priority="234" stopIfTrue="1">
      <formula>IF($AK9&gt;2,0,1)</formula>
    </cfRule>
  </conditionalFormatting>
  <conditionalFormatting sqref="AQ28 AQ113">
    <cfRule type="expression" dxfId="1921" priority="232" stopIfTrue="1">
      <formula>IF($AK9&gt;4,0,1)</formula>
    </cfRule>
  </conditionalFormatting>
  <conditionalFormatting sqref="E26:G26 E111:G111">
    <cfRule type="expression" dxfId="1920" priority="231" stopIfTrue="1">
      <formula>IF($AK8&lt;2,1,IF($AK7&lt;2,1,0))</formula>
    </cfRule>
  </conditionalFormatting>
  <conditionalFormatting sqref="E27:G27 E112:G112">
    <cfRule type="expression" dxfId="1919" priority="230" stopIfTrue="1">
      <formula>IF($AK8&lt;2,1,IF($AK7&lt;3,1,0))</formula>
    </cfRule>
  </conditionalFormatting>
  <conditionalFormatting sqref="E28:G28 E113:G113">
    <cfRule type="expression" dxfId="1918" priority="229" stopIfTrue="1">
      <formula>IF($AK8&lt;2,1,IF($AK7&lt;4,1,0))</formula>
    </cfRule>
  </conditionalFormatting>
  <conditionalFormatting sqref="E29:G29 E114:G114">
    <cfRule type="expression" dxfId="1917" priority="228" stopIfTrue="1">
      <formula>IF($AK8&lt;2,1,IF($AK7&lt;5,1,0))</formula>
    </cfRule>
  </conditionalFormatting>
  <conditionalFormatting sqref="T25:V25 T110:V110">
    <cfRule type="expression" dxfId="1916" priority="225" stopIfTrue="1">
      <formula>IF($AK8&gt;6,0,1)</formula>
    </cfRule>
  </conditionalFormatting>
  <conditionalFormatting sqref="W25:Y25 W110:Y110">
    <cfRule type="expression" dxfId="1915" priority="224" stopIfTrue="1">
      <formula>IF($AK8&gt;7,0,1)</formula>
    </cfRule>
  </conditionalFormatting>
  <conditionalFormatting sqref="Z25:AB25 Z110:AB110">
    <cfRule type="expression" dxfId="1914" priority="223" stopIfTrue="1">
      <formula>IF($AK8&gt;8,0,1)</formula>
    </cfRule>
  </conditionalFormatting>
  <conditionalFormatting sqref="AC25:AE25 AC110:AE110">
    <cfRule type="expression" dxfId="1913" priority="222" stopIfTrue="1">
      <formula>IF($AK8&gt;9,0,1)</formula>
    </cfRule>
  </conditionalFormatting>
  <conditionalFormatting sqref="H26:J26 H111:J111">
    <cfRule type="expression" dxfId="1912" priority="221" stopIfTrue="1">
      <formula>IF($AK8&lt;3,1,IF($AK7&lt;2,1,0))</formula>
    </cfRule>
  </conditionalFormatting>
  <conditionalFormatting sqref="K26:M26 K111:M111">
    <cfRule type="expression" dxfId="1911" priority="220" stopIfTrue="1">
      <formula>IF($AK8&lt;4,1,IF($AK7&lt;2,1,0))</formula>
    </cfRule>
  </conditionalFormatting>
  <conditionalFormatting sqref="N26:P26 N111:P111">
    <cfRule type="expression" dxfId="1910" priority="219" stopIfTrue="1">
      <formula>IF($AK8&lt;5,1,IF($AK7&lt;2,1,0))</formula>
    </cfRule>
  </conditionalFormatting>
  <conditionalFormatting sqref="Q26:S26 Q111:S111">
    <cfRule type="expression" dxfId="1909" priority="218" stopIfTrue="1">
      <formula>IF($AK8&lt;6,1,IF($AK7&lt;2,1,0))</formula>
    </cfRule>
  </conditionalFormatting>
  <conditionalFormatting sqref="T26:V26 T111:V111">
    <cfRule type="expression" dxfId="1908" priority="217" stopIfTrue="1">
      <formula>IF($AK8&lt;7,1,IF($AK7&lt;2,1,0))</formula>
    </cfRule>
  </conditionalFormatting>
  <conditionalFormatting sqref="W26:Y26 W111:Y111">
    <cfRule type="expression" dxfId="1907" priority="216" stopIfTrue="1">
      <formula>IF($AK8&lt;8,1,IF($AK7&lt;2,1,0))</formula>
    </cfRule>
  </conditionalFormatting>
  <conditionalFormatting sqref="Z26:AB26 Z111:AB111">
    <cfRule type="expression" dxfId="1906" priority="215" stopIfTrue="1">
      <formula>IF($AK8&lt;9,1,IF($AK7&lt;2,1,0))</formula>
    </cfRule>
  </conditionalFormatting>
  <conditionalFormatting sqref="AC26:AE26 AC111:AE111">
    <cfRule type="expression" dxfId="1905" priority="214" stopIfTrue="1">
      <formula>IF($AK8&lt;10,1,IF($AK7&lt;2,1,0))</formula>
    </cfRule>
  </conditionalFormatting>
  <conditionalFormatting sqref="H27:J27 H112:J112">
    <cfRule type="expression" dxfId="1904" priority="213" stopIfTrue="1">
      <formula>IF($AK8&lt;3,1,IF($AK7&lt;3,1,0))</formula>
    </cfRule>
  </conditionalFormatting>
  <conditionalFormatting sqref="K27:M27 K112:M112">
    <cfRule type="expression" dxfId="1903" priority="212" stopIfTrue="1">
      <formula>IF($AK8&lt;4,1,IF($AK7&lt;3,1,0))</formula>
    </cfRule>
  </conditionalFormatting>
  <conditionalFormatting sqref="N27:P27 N112:P112">
    <cfRule type="expression" dxfId="1902" priority="211" stopIfTrue="1">
      <formula>IF($AK8&lt;5,1,IF($AK7&lt;3,1,0))</formula>
    </cfRule>
  </conditionalFormatting>
  <conditionalFormatting sqref="Q27:S27 Q112:S112">
    <cfRule type="expression" dxfId="1901" priority="210" stopIfTrue="1">
      <formula>IF($AK8&lt;6,1,IF($AK7&lt;3,1,0))</formula>
    </cfRule>
  </conditionalFormatting>
  <conditionalFormatting sqref="T27:V27 T112:V112">
    <cfRule type="expression" dxfId="1900" priority="209" stopIfTrue="1">
      <formula>IF($AK8&lt;7,1,IF($AK7&lt;3,1,0))</formula>
    </cfRule>
  </conditionalFormatting>
  <conditionalFormatting sqref="W27:Y27 W112:Y112">
    <cfRule type="expression" dxfId="1899" priority="208" stopIfTrue="1">
      <formula>IF($AK8&lt;8,1,IF($AK7&lt;3,1,0))</formula>
    </cfRule>
  </conditionalFormatting>
  <conditionalFormatting sqref="Z27:AB27 Z112:AB112">
    <cfRule type="expression" dxfId="1898" priority="207" stopIfTrue="1">
      <formula>IF($AK8&lt;9,1,IF($AK7&lt;3,1,0))</formula>
    </cfRule>
  </conditionalFormatting>
  <conditionalFormatting sqref="AC27:AE27 AC112:AE112">
    <cfRule type="expression" dxfId="1897" priority="206" stopIfTrue="1">
      <formula>IF($AK8&lt;10,1,IF($AK7&lt;3,1,0))</formula>
    </cfRule>
  </conditionalFormatting>
  <conditionalFormatting sqref="H28:J28 H113:J113">
    <cfRule type="expression" dxfId="1896" priority="205" stopIfTrue="1">
      <formula>IF($AK8&lt;3,1,IF($AK7&lt;4,1,0))</formula>
    </cfRule>
  </conditionalFormatting>
  <conditionalFormatting sqref="K28:M28 K113:M113">
    <cfRule type="expression" dxfId="1895" priority="204" stopIfTrue="1">
      <formula>IF($AK8&lt;4,1,IF($AK7&lt;4,1,0))</formula>
    </cfRule>
  </conditionalFormatting>
  <conditionalFormatting sqref="N28:P28 N113:P113">
    <cfRule type="expression" dxfId="1894" priority="203" stopIfTrue="1">
      <formula>IF($AK8&lt;5,1,IF($AK7&lt;4,1,0))</formula>
    </cfRule>
  </conditionalFormatting>
  <conditionalFormatting sqref="Q28:S28 Q113:S113">
    <cfRule type="expression" dxfId="1893" priority="202" stopIfTrue="1">
      <formula>IF($AK8&lt;6,1,IF($AK7&lt;4,1,0))</formula>
    </cfRule>
  </conditionalFormatting>
  <conditionalFormatting sqref="T28:V28 T113:V113">
    <cfRule type="expression" dxfId="1892" priority="201" stopIfTrue="1">
      <formula>IF($AK8&lt;7,1,IF($AK7&lt;4,1,0))</formula>
    </cfRule>
  </conditionalFormatting>
  <conditionalFormatting sqref="W28:Y28 W113:Y113">
    <cfRule type="expression" dxfId="1891" priority="200" stopIfTrue="1">
      <formula>IF($AK8&lt;8,1,IF($AK7&lt;4,1,0))</formula>
    </cfRule>
  </conditionalFormatting>
  <conditionalFormatting sqref="Z28:AB28 Z113:AB113">
    <cfRule type="expression" dxfId="1890" priority="199" stopIfTrue="1">
      <formula>IF($AK8&lt;9,1,IF($AK7&lt;4,1,0))</formula>
    </cfRule>
  </conditionalFormatting>
  <conditionalFormatting sqref="AC28:AE28 AC113:AE113">
    <cfRule type="expression" dxfId="1889" priority="198" stopIfTrue="1">
      <formula>IF($AK8&lt;10,1,IF($AK7&lt;4,1,0))</formula>
    </cfRule>
  </conditionalFormatting>
  <conditionalFormatting sqref="H29:J29 H114:J114">
    <cfRule type="expression" dxfId="1888" priority="197" stopIfTrue="1">
      <formula>IF($AK8&lt;3,1,IF($AK7&lt;5,1,0))</formula>
    </cfRule>
  </conditionalFormatting>
  <conditionalFormatting sqref="K29:M29 K114:M114">
    <cfRule type="expression" dxfId="1887" priority="196" stopIfTrue="1">
      <formula>IF($AK8&lt;4,1,IF($AK7&lt;5,1,0))</formula>
    </cfRule>
  </conditionalFormatting>
  <conditionalFormatting sqref="N29:P29 N114:P114">
    <cfRule type="expression" dxfId="1886" priority="195" stopIfTrue="1">
      <formula>IF($AK8&lt;5,1,IF($AK7&lt;5,1,0))</formula>
    </cfRule>
  </conditionalFormatting>
  <conditionalFormatting sqref="Q29:S29 Q114:S114">
    <cfRule type="expression" dxfId="1885" priority="194" stopIfTrue="1">
      <formula>IF($AK8&lt;6,1,IF($AK7&lt;5,1,0))</formula>
    </cfRule>
  </conditionalFormatting>
  <conditionalFormatting sqref="T29:V29 T114:V114">
    <cfRule type="expression" dxfId="1884" priority="193" stopIfTrue="1">
      <formula>IF($AK8&lt;7,1,IF($AK7&lt;5,1,0))</formula>
    </cfRule>
  </conditionalFormatting>
  <conditionalFormatting sqref="W29:Y29 W114:Y114">
    <cfRule type="expression" dxfId="1883" priority="192" stopIfTrue="1">
      <formula>IF($AK8&lt;8,1,IF($AK7&lt;5,1,0))</formula>
    </cfRule>
  </conditionalFormatting>
  <conditionalFormatting sqref="Z29:AB29 Z114:AB114">
    <cfRule type="expression" dxfId="1882" priority="191" stopIfTrue="1">
      <formula>IF($AK8&lt;9,1,IF($AK7&lt;5,1,0))</formula>
    </cfRule>
  </conditionalFormatting>
  <conditionalFormatting sqref="AC29:AE29 AC114:AE114">
    <cfRule type="expression" dxfId="1881" priority="190" stopIfTrue="1">
      <formula>IF($AK8&lt;10,1,IF($AK7&lt;5,1,0))</formula>
    </cfRule>
  </conditionalFormatting>
  <conditionalFormatting sqref="R14:AB15 AF14:AF15 L14:P15 R99:AB100 AF99:AF100 L99:P100 AG14 AG99">
    <cfRule type="expression" dxfId="1880" priority="189" stopIfTrue="1">
      <formula>IF($AK9&gt;3,0,1)</formula>
    </cfRule>
  </conditionalFormatting>
  <conditionalFormatting sqref="R16:AB17 AF16:AF17 L16:P17 R101:AB102 AF101:AF102 L101:P102 AG16 AG101">
    <cfRule type="expression" dxfId="1879" priority="188" stopIfTrue="1">
      <formula>IF($AK9&gt;4,0,1)</formula>
    </cfRule>
  </conditionalFormatting>
  <conditionalFormatting sqref="R8:AB9 AF8:AF9 L8:P9 R93:AB94 AF93:AF94 L93:P94 AG8 AG93">
    <cfRule type="expression" dxfId="1878" priority="187" stopIfTrue="1">
      <formula>IF($AK9&gt;0,0,1)</formula>
    </cfRule>
  </conditionalFormatting>
  <conditionalFormatting sqref="R10:AB11 AF10:AF11 L10:P11 R95:AB96 AF95:AF96 L95:P96 AG10 AG95">
    <cfRule type="expression" dxfId="1877" priority="186" stopIfTrue="1">
      <formula>IF($AK9&gt;1,0,1)</formula>
    </cfRule>
  </conditionalFormatting>
  <conditionalFormatting sqref="R12:AB13 AF12:AF13 L12:P13 R97:AB98 AF97:AF98 L97:P98 AG12 AG97">
    <cfRule type="expression" dxfId="1876" priority="185" stopIfTrue="1">
      <formula>IF($AK9&gt;2,0,1)</formula>
    </cfRule>
  </conditionalFormatting>
  <conditionalFormatting sqref="T109 T24">
    <cfRule type="expression" dxfId="1875" priority="179" stopIfTrue="1">
      <formula>IF(AK8&gt;6,0,1)</formula>
    </cfRule>
  </conditionalFormatting>
  <conditionalFormatting sqref="W109 W24">
    <cfRule type="expression" dxfId="1874" priority="178" stopIfTrue="1">
      <formula>IF(AK8&gt;7,0,1)</formula>
    </cfRule>
  </conditionalFormatting>
  <conditionalFormatting sqref="Z109 Z24">
    <cfRule type="expression" dxfId="1873" priority="177" stopIfTrue="1">
      <formula>IF(AK8&gt;8,0,1)</formula>
    </cfRule>
  </conditionalFormatting>
  <conditionalFormatting sqref="AC109 AC24">
    <cfRule type="expression" dxfId="1872" priority="176" stopIfTrue="1">
      <formula>IF(AK8&gt;9,0,1)</formula>
    </cfRule>
  </conditionalFormatting>
  <conditionalFormatting sqref="AQ112 AQ27">
    <cfRule type="expression" dxfId="1871" priority="175" stopIfTrue="1">
      <formula>IF($AK9&gt;3,0,1)</formula>
    </cfRule>
  </conditionalFormatting>
  <conditionalFormatting sqref="B21:D21 B106:D106">
    <cfRule type="expression" dxfId="1870" priority="173" stopIfTrue="1">
      <formula>IF(AK8&gt;0,0,1)</formula>
    </cfRule>
  </conditionalFormatting>
  <conditionalFormatting sqref="E21:G21 E106:G106">
    <cfRule type="expression" dxfId="1869" priority="172" stopIfTrue="1">
      <formula>IF(AK8&gt;1,0,1)</formula>
    </cfRule>
  </conditionalFormatting>
  <conditionalFormatting sqref="H21:J21 H106:J106">
    <cfRule type="expression" dxfId="1868" priority="171" stopIfTrue="1">
      <formula>IF(AK8&gt;2,0,1)</formula>
    </cfRule>
  </conditionalFormatting>
  <conditionalFormatting sqref="K106:M106 K21:M21">
    <cfRule type="expression" dxfId="1867" priority="170" stopIfTrue="1">
      <formula>IF(AK8&gt;3,0,1)</formula>
    </cfRule>
  </conditionalFormatting>
  <conditionalFormatting sqref="N106:P106 N21:P21">
    <cfRule type="expression" dxfId="1866" priority="169" stopIfTrue="1">
      <formula>IF(AK8&gt;4,0,1)</formula>
    </cfRule>
  </conditionalFormatting>
  <conditionalFormatting sqref="Q106:S106 Q21:S21">
    <cfRule type="expression" dxfId="1865" priority="168" stopIfTrue="1">
      <formula>IF(AK8&gt;5,0,1)</formula>
    </cfRule>
  </conditionalFormatting>
  <conditionalFormatting sqref="T106:V106 T21:V21">
    <cfRule type="expression" dxfId="1864" priority="167" stopIfTrue="1">
      <formula>IF(AK8&gt;6,0,1)</formula>
    </cfRule>
  </conditionalFormatting>
  <conditionalFormatting sqref="W106:Y106 W21:Y21">
    <cfRule type="expression" dxfId="1863" priority="166" stopIfTrue="1">
      <formula>IF(AK8&gt;7,0,1)</formula>
    </cfRule>
  </conditionalFormatting>
  <conditionalFormatting sqref="Z106:AB106 Z21:AB21">
    <cfRule type="expression" dxfId="1862" priority="165" stopIfTrue="1">
      <formula>IF(AK8&gt;8,0,1)</formula>
    </cfRule>
  </conditionalFormatting>
  <conditionalFormatting sqref="AC106:AE106 AC21:AE21">
    <cfRule type="expression" dxfId="1861" priority="164" stopIfTrue="1">
      <formula>IF(AK8&gt;9,0,1)</formula>
    </cfRule>
  </conditionalFormatting>
  <conditionalFormatting sqref="AG24:AP28 AG109:AP113">
    <cfRule type="cellIs" dxfId="1860" priority="163" stopIfTrue="1" operator="notBetween">
      <formula>-9999</formula>
      <formula>9999</formula>
    </cfRule>
  </conditionalFormatting>
  <conditionalFormatting sqref="AC92 AC7">
    <cfRule type="expression" dxfId="1859" priority="162" stopIfTrue="1">
      <formula>IF($AK$11=0,1,0)</formula>
    </cfRule>
  </conditionalFormatting>
  <conditionalFormatting sqref="B18">
    <cfRule type="expression" dxfId="1858" priority="161" stopIfTrue="1">
      <formula>IF($AK$9&gt;0,0,1)</formula>
    </cfRule>
  </conditionalFormatting>
  <conditionalFormatting sqref="B18">
    <cfRule type="expression" dxfId="1857" priority="159" stopIfTrue="1">
      <formula>IF($AK$9&gt;0,0,1)</formula>
    </cfRule>
  </conditionalFormatting>
  <conditionalFormatting sqref="B20:D20">
    <cfRule type="expression" dxfId="1856" priority="158" stopIfTrue="1">
      <formula>IF(AK8&gt;0,0,1)</formula>
    </cfRule>
  </conditionalFormatting>
  <conditionalFormatting sqref="E20:G20">
    <cfRule type="expression" dxfId="1855" priority="157" stopIfTrue="1">
      <formula>IF(AK8&gt;1,0,1)</formula>
    </cfRule>
  </conditionalFormatting>
  <conditionalFormatting sqref="H20:J20">
    <cfRule type="expression" dxfId="1854" priority="156" stopIfTrue="1">
      <formula>IF(AK8&gt;2,0,1)</formula>
    </cfRule>
  </conditionalFormatting>
  <conditionalFormatting sqref="B21:D21">
    <cfRule type="expression" dxfId="1853" priority="155" stopIfTrue="1">
      <formula>IF(AK8&gt;0,0,1)</formula>
    </cfRule>
  </conditionalFormatting>
  <conditionalFormatting sqref="E21:G21">
    <cfRule type="expression" dxfId="1852" priority="154" stopIfTrue="1">
      <formula>IF(AK8&gt;1,0,1)</formula>
    </cfRule>
  </conditionalFormatting>
  <conditionalFormatting sqref="H21:J21">
    <cfRule type="expression" dxfId="1851" priority="153" stopIfTrue="1">
      <formula>IF(AK8&gt;2,0,1)</formula>
    </cfRule>
  </conditionalFormatting>
  <conditionalFormatting sqref="B105:D105">
    <cfRule type="expression" dxfId="1850" priority="152" stopIfTrue="1">
      <formula>IF(AK93&gt;0,0,1)</formula>
    </cfRule>
  </conditionalFormatting>
  <conditionalFormatting sqref="E105:G105">
    <cfRule type="expression" dxfId="1849" priority="151" stopIfTrue="1">
      <formula>IF(AK93&gt;1,0,1)</formula>
    </cfRule>
  </conditionalFormatting>
  <conditionalFormatting sqref="H105:J105">
    <cfRule type="expression" dxfId="1848" priority="150" stopIfTrue="1">
      <formula>IF(AK93&gt;2,0,1)</formula>
    </cfRule>
  </conditionalFormatting>
  <conditionalFormatting sqref="B106:D106">
    <cfRule type="expression" dxfId="1847" priority="149" stopIfTrue="1">
      <formula>IF(AK93&gt;0,0,1)</formula>
    </cfRule>
  </conditionalFormatting>
  <conditionalFormatting sqref="E106:G106">
    <cfRule type="expression" dxfId="1846" priority="148" stopIfTrue="1">
      <formula>IF(AK93&gt;1,0,1)</formula>
    </cfRule>
  </conditionalFormatting>
  <conditionalFormatting sqref="H106:J106">
    <cfRule type="expression" dxfId="1845" priority="147" stopIfTrue="1">
      <formula>IF(AK93&gt;2,0,1)</formula>
    </cfRule>
  </conditionalFormatting>
  <conditionalFormatting sqref="B18">
    <cfRule type="expression" dxfId="1844" priority="123" stopIfTrue="1">
      <formula>IF($AK$9&gt;0,0,1)</formula>
    </cfRule>
  </conditionalFormatting>
  <conditionalFormatting sqref="B103">
    <cfRule type="expression" dxfId="1843" priority="122" stopIfTrue="1">
      <formula>IF($AK$9&gt;0,0,1)</formula>
    </cfRule>
  </conditionalFormatting>
  <conditionalFormatting sqref="B103">
    <cfRule type="expression" dxfId="1842" priority="121" stopIfTrue="1">
      <formula>IF($AK$9&gt;0,0,1)</formula>
    </cfRule>
  </conditionalFormatting>
  <conditionalFormatting sqref="B103">
    <cfRule type="expression" dxfId="1841" priority="120" stopIfTrue="1">
      <formula>IF($AK$9&gt;0,0,1)</formula>
    </cfRule>
  </conditionalFormatting>
  <conditionalFormatting sqref="B104:D104">
    <cfRule type="expression" dxfId="1840" priority="110" stopIfTrue="1">
      <formula>IF(AK93&gt;0,0,1)</formula>
    </cfRule>
  </conditionalFormatting>
  <conditionalFormatting sqref="E104:G104">
    <cfRule type="expression" dxfId="1839" priority="109" stopIfTrue="1">
      <formula>IF(AK93&gt;1,0,1)</formula>
    </cfRule>
  </conditionalFormatting>
  <conditionalFormatting sqref="H104:J104">
    <cfRule type="expression" dxfId="1838" priority="108" stopIfTrue="1">
      <formula>IF(AK93&gt;2,0,1)</formula>
    </cfRule>
  </conditionalFormatting>
  <conditionalFormatting sqref="B104:D104">
    <cfRule type="expression" dxfId="1837" priority="107" stopIfTrue="1">
      <formula>IF(AK93&gt;0,0,1)</formula>
    </cfRule>
  </conditionalFormatting>
  <conditionalFormatting sqref="E104:G104">
    <cfRule type="expression" dxfId="1836" priority="106" stopIfTrue="1">
      <formula>IF(AK93&gt;1,0,1)</formula>
    </cfRule>
  </conditionalFormatting>
  <conditionalFormatting sqref="H104:J104">
    <cfRule type="expression" dxfId="1835" priority="105" stopIfTrue="1">
      <formula>IF(AK93&gt;2,0,1)</formula>
    </cfRule>
  </conditionalFormatting>
  <conditionalFormatting sqref="B19:D19">
    <cfRule type="expression" dxfId="1834" priority="116" stopIfTrue="1">
      <formula>IF(AK8&gt;0,0,1)</formula>
    </cfRule>
  </conditionalFormatting>
  <conditionalFormatting sqref="E19:G19">
    <cfRule type="expression" dxfId="1833" priority="115" stopIfTrue="1">
      <formula>IF(AK8&gt;1,0,1)</formula>
    </cfRule>
  </conditionalFormatting>
  <conditionalFormatting sqref="H19:J19">
    <cfRule type="expression" dxfId="1832" priority="114" stopIfTrue="1">
      <formula>IF(AK8&gt;2,0,1)</formula>
    </cfRule>
  </conditionalFormatting>
  <conditionalFormatting sqref="B19:D19">
    <cfRule type="expression" dxfId="1831" priority="113" stopIfTrue="1">
      <formula>IF(AK8&gt;0,0,1)</formula>
    </cfRule>
  </conditionalFormatting>
  <conditionalFormatting sqref="E19:G19">
    <cfRule type="expression" dxfId="1830" priority="112" stopIfTrue="1">
      <formula>IF(AK8&gt;1,0,1)</formula>
    </cfRule>
  </conditionalFormatting>
  <conditionalFormatting sqref="H19:J19">
    <cfRule type="expression" dxfId="1829" priority="111" stopIfTrue="1">
      <formula>IF(AK8&gt;2,0,1)</formula>
    </cfRule>
  </conditionalFormatting>
  <conditionalFormatting sqref="E8">
    <cfRule type="expression" dxfId="1828" priority="98" stopIfTrue="1">
      <formula>IF(AK9&gt;0,0,1)</formula>
    </cfRule>
  </conditionalFormatting>
  <conditionalFormatting sqref="E9">
    <cfRule type="expression" dxfId="1827" priority="97" stopIfTrue="1">
      <formula>IF(AK9&gt;0,0,1)</formula>
    </cfRule>
  </conditionalFormatting>
  <conditionalFormatting sqref="E10">
    <cfRule type="expression" dxfId="1826" priority="96" stopIfTrue="1">
      <formula>IF(AK9&gt;1,0,1)</formula>
    </cfRule>
  </conditionalFormatting>
  <conditionalFormatting sqref="E11">
    <cfRule type="expression" dxfId="1825" priority="95" stopIfTrue="1">
      <formula>IF(AK9&gt;1,0,1)</formula>
    </cfRule>
  </conditionalFormatting>
  <conditionalFormatting sqref="E12">
    <cfRule type="expression" dxfId="1824" priority="94" stopIfTrue="1">
      <formula>IF(AK9&gt;2,0,1)</formula>
    </cfRule>
  </conditionalFormatting>
  <conditionalFormatting sqref="E13">
    <cfRule type="expression" dxfId="1823" priority="93" stopIfTrue="1">
      <formula>IF(AK9&gt;2,0,1)</formula>
    </cfRule>
  </conditionalFormatting>
  <conditionalFormatting sqref="E93">
    <cfRule type="expression" dxfId="1822" priority="92" stopIfTrue="1">
      <formula>IF(AK94&gt;0,0,1)</formula>
    </cfRule>
  </conditionalFormatting>
  <conditionalFormatting sqref="E94">
    <cfRule type="expression" dxfId="1821" priority="91" stopIfTrue="1">
      <formula>IF(AK94&gt;0,0,1)</formula>
    </cfRule>
  </conditionalFormatting>
  <conditionalFormatting sqref="E95">
    <cfRule type="expression" dxfId="1820" priority="90" stopIfTrue="1">
      <formula>IF(AK94&gt;1,0,1)</formula>
    </cfRule>
  </conditionalFormatting>
  <conditionalFormatting sqref="E96">
    <cfRule type="expression" dxfId="1819" priority="89" stopIfTrue="1">
      <formula>IF(AK94&gt;1,0,1)</formula>
    </cfRule>
  </conditionalFormatting>
  <conditionalFormatting sqref="E97">
    <cfRule type="expression" dxfId="1818" priority="88" stopIfTrue="1">
      <formula>IF(AK94&gt;2,0,1)</formula>
    </cfRule>
  </conditionalFormatting>
  <conditionalFormatting sqref="E98">
    <cfRule type="expression" dxfId="1817" priority="87" stopIfTrue="1">
      <formula>IF(AK94&gt;2,0,1)</formula>
    </cfRule>
  </conditionalFormatting>
  <conditionalFormatting sqref="E14">
    <cfRule type="expression" dxfId="1816" priority="86" stopIfTrue="1">
      <formula>IF(AK9&gt;3,0,1)</formula>
    </cfRule>
  </conditionalFormatting>
  <conditionalFormatting sqref="E15">
    <cfRule type="expression" dxfId="1815" priority="85" stopIfTrue="1">
      <formula>IF(AK9&gt;3,0,1)</formula>
    </cfRule>
  </conditionalFormatting>
  <conditionalFormatting sqref="E99">
    <cfRule type="expression" dxfId="1814" priority="84" stopIfTrue="1">
      <formula>IF(AK94&gt;3,0,1)</formula>
    </cfRule>
  </conditionalFormatting>
  <conditionalFormatting sqref="E100">
    <cfRule type="expression" dxfId="1813" priority="83" stopIfTrue="1">
      <formula>IF(AK94&gt;3,0,1)</formula>
    </cfRule>
  </conditionalFormatting>
  <conditionalFormatting sqref="E22:G22">
    <cfRule type="expression" dxfId="1812" priority="82" stopIfTrue="1">
      <formula>IF(AK8&gt;1,0,1)</formula>
    </cfRule>
  </conditionalFormatting>
  <conditionalFormatting sqref="H22:J22">
    <cfRule type="expression" dxfId="1811" priority="81" stopIfTrue="1">
      <formula>IF(AK8&gt;2,0,1)</formula>
    </cfRule>
  </conditionalFormatting>
  <conditionalFormatting sqref="K22:M22">
    <cfRule type="expression" dxfId="1810" priority="80" stopIfTrue="1">
      <formula>IF(AK8&gt;3,0,1)</formula>
    </cfRule>
  </conditionalFormatting>
  <conditionalFormatting sqref="N22:P22">
    <cfRule type="expression" dxfId="1809" priority="79" stopIfTrue="1">
      <formula>IF(AK8&gt;4,0,1)</formula>
    </cfRule>
  </conditionalFormatting>
  <conditionalFormatting sqref="Q22:S22">
    <cfRule type="expression" dxfId="1808" priority="78" stopIfTrue="1">
      <formula>IF(AK8&gt;5,0,1)</formula>
    </cfRule>
  </conditionalFormatting>
  <conditionalFormatting sqref="B24">
    <cfRule type="expression" dxfId="1807" priority="77" stopIfTrue="1">
      <formula>IF(AK8&gt;0,0,1)</formula>
    </cfRule>
  </conditionalFormatting>
  <conditionalFormatting sqref="C24">
    <cfRule type="expression" dxfId="1806" priority="76" stopIfTrue="1">
      <formula>IF(AK8&gt;0,0,1)</formula>
    </cfRule>
  </conditionalFormatting>
  <conditionalFormatting sqref="D24">
    <cfRule type="expression" dxfId="1805" priority="75" stopIfTrue="1">
      <formula>IF(AK8&gt;0,0,1)</formula>
    </cfRule>
  </conditionalFormatting>
  <conditionalFormatting sqref="E23:G23">
    <cfRule type="expression" dxfId="1804" priority="74" stopIfTrue="1">
      <formula>IF(AK8&gt;1,0,1)</formula>
    </cfRule>
  </conditionalFormatting>
  <conditionalFormatting sqref="F24">
    <cfRule type="expression" dxfId="1803" priority="73" stopIfTrue="1">
      <formula>IF(AK8&gt;1,0,1)</formula>
    </cfRule>
  </conditionalFormatting>
  <conditionalFormatting sqref="G24">
    <cfRule type="expression" dxfId="1802" priority="72" stopIfTrue="1">
      <formula>IF(AK8&gt;1,0,1)</formula>
    </cfRule>
  </conditionalFormatting>
  <conditionalFormatting sqref="H23:J23">
    <cfRule type="expression" dxfId="1801" priority="71" stopIfTrue="1">
      <formula>IF(AK8&gt;2,0,1)</formula>
    </cfRule>
  </conditionalFormatting>
  <conditionalFormatting sqref="I24">
    <cfRule type="expression" dxfId="1800" priority="70" stopIfTrue="1">
      <formula>IF(AK8&gt;2,0,1)</formula>
    </cfRule>
  </conditionalFormatting>
  <conditionalFormatting sqref="J24">
    <cfRule type="expression" dxfId="1799" priority="69" stopIfTrue="1">
      <formula>IF(AK8&gt;2,0,1)</formula>
    </cfRule>
  </conditionalFormatting>
  <conditionalFormatting sqref="K23:M23">
    <cfRule type="expression" dxfId="1798" priority="68" stopIfTrue="1">
      <formula>IF(AK8&gt;3,0,1)</formula>
    </cfRule>
  </conditionalFormatting>
  <conditionalFormatting sqref="L24">
    <cfRule type="expression" dxfId="1797" priority="67" stopIfTrue="1">
      <formula>IF(AK8&gt;3,0,1)</formula>
    </cfRule>
  </conditionalFormatting>
  <conditionalFormatting sqref="M24">
    <cfRule type="expression" dxfId="1796" priority="66" stopIfTrue="1">
      <formula>IF(AK8&gt;3,0,1)</formula>
    </cfRule>
  </conditionalFormatting>
  <conditionalFormatting sqref="N23:P23">
    <cfRule type="expression" dxfId="1795" priority="65" stopIfTrue="1">
      <formula>IF(AK8&gt;4,0,1)</formula>
    </cfRule>
  </conditionalFormatting>
  <conditionalFormatting sqref="O24">
    <cfRule type="expression" dxfId="1794" priority="64" stopIfTrue="1">
      <formula>IF(AK8&gt;4,0,1)</formula>
    </cfRule>
  </conditionalFormatting>
  <conditionalFormatting sqref="P24">
    <cfRule type="expression" dxfId="1793" priority="63" stopIfTrue="1">
      <formula>IF(AK8&gt;4,0,1)</formula>
    </cfRule>
  </conditionalFormatting>
  <conditionalFormatting sqref="Q23:S23">
    <cfRule type="expression" dxfId="1792" priority="62" stopIfTrue="1">
      <formula>IF(AK8&gt;5,0,1)</formula>
    </cfRule>
  </conditionalFormatting>
  <conditionalFormatting sqref="R24">
    <cfRule type="expression" dxfId="1791" priority="61" stopIfTrue="1">
      <formula>IF(AK8&gt;5,0,1)</formula>
    </cfRule>
  </conditionalFormatting>
  <conditionalFormatting sqref="S24">
    <cfRule type="expression" dxfId="1790" priority="60" stopIfTrue="1">
      <formula>IF(AK8&gt;5,0,1)</formula>
    </cfRule>
  </conditionalFormatting>
  <conditionalFormatting sqref="E24">
    <cfRule type="expression" dxfId="1789" priority="54" stopIfTrue="1">
      <formula>IF(AK8&gt;1,0,1)</formula>
    </cfRule>
  </conditionalFormatting>
  <conditionalFormatting sqref="H24">
    <cfRule type="expression" dxfId="1788" priority="53" stopIfTrue="1">
      <formula>IF(AK8&gt;2,0,1)</formula>
    </cfRule>
  </conditionalFormatting>
  <conditionalFormatting sqref="K24">
    <cfRule type="expression" dxfId="1787" priority="52" stopIfTrue="1">
      <formula>IF(AK8&gt;3,0,1)</formula>
    </cfRule>
  </conditionalFormatting>
  <conditionalFormatting sqref="N24">
    <cfRule type="expression" dxfId="1786" priority="51" stopIfTrue="1">
      <formula>IF(AK8&gt;4,0,1)</formula>
    </cfRule>
  </conditionalFormatting>
  <conditionalFormatting sqref="Q24">
    <cfRule type="expression" dxfId="1785" priority="50" stopIfTrue="1">
      <formula>IF(AK8&gt;5,0,1)</formula>
    </cfRule>
  </conditionalFormatting>
  <conditionalFormatting sqref="B22:D23">
    <cfRule type="cellIs" dxfId="1784" priority="48" stopIfTrue="1" operator="equal">
      <formula>99</formula>
    </cfRule>
  </conditionalFormatting>
  <conditionalFormatting sqref="E107:G107">
    <cfRule type="expression" dxfId="1783" priority="47" stopIfTrue="1">
      <formula>IF(AK93&gt;1,0,1)</formula>
    </cfRule>
  </conditionalFormatting>
  <conditionalFormatting sqref="H107:J107">
    <cfRule type="expression" dxfId="1782" priority="46" stopIfTrue="1">
      <formula>IF(AK93&gt;2,0,1)</formula>
    </cfRule>
  </conditionalFormatting>
  <conditionalFormatting sqref="K107:M107">
    <cfRule type="expression" dxfId="1781" priority="45" stopIfTrue="1">
      <formula>IF(AK93&gt;3,0,1)</formula>
    </cfRule>
  </conditionalFormatting>
  <conditionalFormatting sqref="N107:P107">
    <cfRule type="expression" dxfId="1780" priority="44" stopIfTrue="1">
      <formula>IF(AK93&gt;4,0,1)</formula>
    </cfRule>
  </conditionalFormatting>
  <conditionalFormatting sqref="Q107:S107">
    <cfRule type="expression" dxfId="1779" priority="43" stopIfTrue="1">
      <formula>IF(AK93&gt;5,0,1)</formula>
    </cfRule>
  </conditionalFormatting>
  <conditionalFormatting sqref="B109">
    <cfRule type="expression" dxfId="1778" priority="42" stopIfTrue="1">
      <formula>IF(AK93&gt;0,0,1)</formula>
    </cfRule>
  </conditionalFormatting>
  <conditionalFormatting sqref="C109">
    <cfRule type="expression" dxfId="1777" priority="41" stopIfTrue="1">
      <formula>IF(AK93&gt;0,0,1)</formula>
    </cfRule>
  </conditionalFormatting>
  <conditionalFormatting sqref="D109">
    <cfRule type="expression" dxfId="1776" priority="40" stopIfTrue="1">
      <formula>IF(AK93&gt;0,0,1)</formula>
    </cfRule>
  </conditionalFormatting>
  <conditionalFormatting sqref="E108:G108">
    <cfRule type="expression" dxfId="1775" priority="39" stopIfTrue="1">
      <formula>IF(AK93&gt;1,0,1)</formula>
    </cfRule>
  </conditionalFormatting>
  <conditionalFormatting sqref="F109">
    <cfRule type="expression" dxfId="1774" priority="38" stopIfTrue="1">
      <formula>IF(AK93&gt;1,0,1)</formula>
    </cfRule>
  </conditionalFormatting>
  <conditionalFormatting sqref="G109">
    <cfRule type="expression" dxfId="1773" priority="37" stopIfTrue="1">
      <formula>IF(AK93&gt;1,0,1)</formula>
    </cfRule>
  </conditionalFormatting>
  <conditionalFormatting sqref="H108:J108">
    <cfRule type="expression" dxfId="1772" priority="36" stopIfTrue="1">
      <formula>IF(AK93&gt;2,0,1)</formula>
    </cfRule>
  </conditionalFormatting>
  <conditionalFormatting sqref="I109">
    <cfRule type="expression" dxfId="1771" priority="35" stopIfTrue="1">
      <formula>IF(AK93&gt;2,0,1)</formula>
    </cfRule>
  </conditionalFormatting>
  <conditionalFormatting sqref="J109">
    <cfRule type="expression" dxfId="1770" priority="34" stopIfTrue="1">
      <formula>IF(AK93&gt;2,0,1)</formula>
    </cfRule>
  </conditionalFormatting>
  <conditionalFormatting sqref="K108:M108">
    <cfRule type="expression" dxfId="1769" priority="33" stopIfTrue="1">
      <formula>IF(AK93&gt;3,0,1)</formula>
    </cfRule>
  </conditionalFormatting>
  <conditionalFormatting sqref="L109">
    <cfRule type="expression" dxfId="1768" priority="32" stopIfTrue="1">
      <formula>IF(AK93&gt;3,0,1)</formula>
    </cfRule>
  </conditionalFormatting>
  <conditionalFormatting sqref="M109">
    <cfRule type="expression" dxfId="1767" priority="31" stopIfTrue="1">
      <formula>IF(AK93&gt;3,0,1)</formula>
    </cfRule>
  </conditionalFormatting>
  <conditionalFormatting sqref="N108:P108">
    <cfRule type="expression" dxfId="1766" priority="30" stopIfTrue="1">
      <formula>IF(AK93&gt;4,0,1)</formula>
    </cfRule>
  </conditionalFormatting>
  <conditionalFormatting sqref="O109">
    <cfRule type="expression" dxfId="1765" priority="29" stopIfTrue="1">
      <formula>IF(AK93&gt;4,0,1)</formula>
    </cfRule>
  </conditionalFormatting>
  <conditionalFormatting sqref="P109">
    <cfRule type="expression" dxfId="1764" priority="28" stopIfTrue="1">
      <formula>IF(AK93&gt;4,0,1)</formula>
    </cfRule>
  </conditionalFormatting>
  <conditionalFormatting sqref="Q108:S108">
    <cfRule type="expression" dxfId="1763" priority="27" stopIfTrue="1">
      <formula>IF(AK93&gt;5,0,1)</formula>
    </cfRule>
  </conditionalFormatting>
  <conditionalFormatting sqref="R109">
    <cfRule type="expression" dxfId="1762" priority="26" stopIfTrue="1">
      <formula>IF(AK93&gt;5,0,1)</formula>
    </cfRule>
  </conditionalFormatting>
  <conditionalFormatting sqref="S109">
    <cfRule type="expression" dxfId="1761" priority="25" stopIfTrue="1">
      <formula>IF(AK93&gt;5,0,1)</formula>
    </cfRule>
  </conditionalFormatting>
  <conditionalFormatting sqref="E109">
    <cfRule type="expression" dxfId="1760" priority="19" stopIfTrue="1">
      <formula>IF(AK93&gt;1,0,1)</formula>
    </cfRule>
  </conditionalFormatting>
  <conditionalFormatting sqref="H109">
    <cfRule type="expression" dxfId="1759" priority="18" stopIfTrue="1">
      <formula>IF(AK93&gt;2,0,1)</formula>
    </cfRule>
  </conditionalFormatting>
  <conditionalFormatting sqref="K109">
    <cfRule type="expression" dxfId="1758" priority="17" stopIfTrue="1">
      <formula>IF(AK93&gt;3,0,1)</formula>
    </cfRule>
  </conditionalFormatting>
  <conditionalFormatting sqref="N109">
    <cfRule type="expression" dxfId="1757" priority="16" stopIfTrue="1">
      <formula>IF(AK93&gt;4,0,1)</formula>
    </cfRule>
  </conditionalFormatting>
  <conditionalFormatting sqref="Q109">
    <cfRule type="expression" dxfId="1756" priority="15" stopIfTrue="1">
      <formula>IF(AK93&gt;5,0,1)</formula>
    </cfRule>
  </conditionalFormatting>
  <conditionalFormatting sqref="B107:D108">
    <cfRule type="cellIs" dxfId="1755" priority="13" stopIfTrue="1" operator="equal">
      <formula>99</formula>
    </cfRule>
  </conditionalFormatting>
  <conditionalFormatting sqref="B25:D25">
    <cfRule type="expression" dxfId="1754" priority="12" stopIfTrue="1">
      <formula>IF($AK8&gt;0,0,1)</formula>
    </cfRule>
  </conditionalFormatting>
  <conditionalFormatting sqref="H25:J25">
    <cfRule type="expression" dxfId="1753" priority="11" stopIfTrue="1">
      <formula>IF($AK8&gt;2,0,1)</formula>
    </cfRule>
  </conditionalFormatting>
  <conditionalFormatting sqref="K25:M25">
    <cfRule type="expression" dxfId="1752" priority="10" stopIfTrue="1">
      <formula>IF($AK8&gt;3,0,1)</formula>
    </cfRule>
  </conditionalFormatting>
  <conditionalFormatting sqref="N25:P25">
    <cfRule type="expression" dxfId="1751" priority="9" stopIfTrue="1">
      <formula>IF($AK8&gt;4,0,1)</formula>
    </cfRule>
  </conditionalFormatting>
  <conditionalFormatting sqref="Q25:S25">
    <cfRule type="expression" dxfId="1750" priority="8" stopIfTrue="1">
      <formula>IF($AK8&gt;5,0,1)</formula>
    </cfRule>
  </conditionalFormatting>
  <conditionalFormatting sqref="E25:G25">
    <cfRule type="expression" dxfId="1749" priority="7" stopIfTrue="1">
      <formula>IF($AK8&gt;1,0,1)</formula>
    </cfRule>
  </conditionalFormatting>
  <conditionalFormatting sqref="B110:D110">
    <cfRule type="expression" dxfId="1748" priority="6" stopIfTrue="1">
      <formula>IF($AK93&gt;0,0,1)</formula>
    </cfRule>
  </conditionalFormatting>
  <conditionalFormatting sqref="H110:J110">
    <cfRule type="expression" dxfId="1747" priority="5" stopIfTrue="1">
      <formula>IF($AK93&gt;2,0,1)</formula>
    </cfRule>
  </conditionalFormatting>
  <conditionalFormatting sqref="K110:M110">
    <cfRule type="expression" dxfId="1746" priority="4" stopIfTrue="1">
      <formula>IF($AK93&gt;3,0,1)</formula>
    </cfRule>
  </conditionalFormatting>
  <conditionalFormatting sqref="N110:P110">
    <cfRule type="expression" dxfId="1745" priority="3" stopIfTrue="1">
      <formula>IF($AK93&gt;4,0,1)</formula>
    </cfRule>
  </conditionalFormatting>
  <conditionalFormatting sqref="Q110:S110">
    <cfRule type="expression" dxfId="1744" priority="2" stopIfTrue="1">
      <formula>IF($AK93&gt;5,0,1)</formula>
    </cfRule>
  </conditionalFormatting>
  <conditionalFormatting sqref="E110:G110">
    <cfRule type="expression" dxfId="1743" priority="1" stopIfTrue="1">
      <formula>IF($AK93&gt;1,0,1)</formula>
    </cfRule>
  </conditionalFormatting>
  <pageMargins left="0.25" right="0.25" top="0.25" bottom="0.25" header="0" footer="0"/>
  <pageSetup scale="80" fitToHeight="8" orientation="landscape" r:id="rId1"/>
  <headerFooter alignWithMargins="0"/>
  <rowBreaks count="1" manualBreakCount="1">
    <brk id="90" max="42" man="1"/>
  </rowBreaks>
  <drawing r:id="rId2"/>
  <legacyDrawing r:id="rId3"/>
  <controls>
    <mc:AlternateContent xmlns:mc="http://schemas.openxmlformats.org/markup-compatibility/2006">
      <mc:Choice Requires="x14">
        <control shapeId="5121" r:id="rId4" name="Pool4RecalcFinish">
          <controlPr defaultSize="0" autoLine="0" autoPict="0" r:id="rId5">
            <anchor moveWithCells="1" sizeWithCells="1">
              <from>
                <xdr:col>36</xdr:col>
                <xdr:colOff>114300</xdr:colOff>
                <xdr:row>174</xdr:row>
                <xdr:rowOff>0</xdr:rowOff>
              </from>
              <to>
                <xdr:col>41</xdr:col>
                <xdr:colOff>228600</xdr:colOff>
                <xdr:row>174</xdr:row>
                <xdr:rowOff>0</xdr:rowOff>
              </to>
            </anchor>
          </controlPr>
        </control>
      </mc:Choice>
      <mc:Fallback>
        <control shapeId="5121" r:id="rId4" name="Pool4RecalcFinish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workbookViewId="0"/>
  </sheetViews>
  <sheetFormatPr defaultRowHeight="14.4" x14ac:dyDescent="0.3"/>
  <cols>
    <col min="1" max="2" width="20.5546875" bestFit="1" customWidth="1"/>
    <col min="3" max="3" width="14.77734375" bestFit="1" customWidth="1"/>
    <col min="4" max="4" width="13.33203125" bestFit="1" customWidth="1"/>
    <col min="5" max="5" width="9.109375" bestFit="1" customWidth="1"/>
    <col min="6" max="6" width="7.5546875" bestFit="1" customWidth="1"/>
    <col min="8" max="8" width="5.88671875" bestFit="1" customWidth="1"/>
  </cols>
  <sheetData>
    <row r="1" spans="1:8" ht="15" thickBot="1" x14ac:dyDescent="0.35">
      <c r="A1" s="7" t="s">
        <v>7</v>
      </c>
      <c r="B1" s="8" t="s">
        <v>8</v>
      </c>
      <c r="C1" s="9" t="s">
        <v>9</v>
      </c>
      <c r="D1" s="10" t="s">
        <v>10</v>
      </c>
      <c r="E1" s="11" t="s">
        <v>11</v>
      </c>
      <c r="F1" s="10" t="s">
        <v>12</v>
      </c>
      <c r="H1" t="s">
        <v>1082</v>
      </c>
    </row>
    <row r="2" spans="1:8" ht="15" thickBot="1" x14ac:dyDescent="0.35">
      <c r="A2" s="13">
        <v>1</v>
      </c>
      <c r="B2" s="298" t="s">
        <v>450</v>
      </c>
      <c r="C2" s="298" t="s">
        <v>451</v>
      </c>
      <c r="D2" s="15">
        <v>1246.5304984710244</v>
      </c>
      <c r="E2" s="16">
        <v>1254.9815924153156</v>
      </c>
      <c r="F2" s="17">
        <v>1254.9815924153156</v>
      </c>
      <c r="H2" t="s">
        <v>1082</v>
      </c>
    </row>
    <row r="3" spans="1:8" ht="15" thickBot="1" x14ac:dyDescent="0.35">
      <c r="A3" s="18">
        <v>2</v>
      </c>
      <c r="B3" s="298" t="s">
        <v>191</v>
      </c>
      <c r="C3" s="298" t="s">
        <v>446</v>
      </c>
      <c r="D3" s="15">
        <v>1185.4695015289756</v>
      </c>
      <c r="E3" s="19">
        <v>1176.7200547305524</v>
      </c>
      <c r="F3" s="20">
        <v>1176.7200547305524</v>
      </c>
      <c r="H3" t="s">
        <v>1082</v>
      </c>
    </row>
    <row r="4" spans="1:8" ht="15" thickBot="1" x14ac:dyDescent="0.35">
      <c r="A4" s="18">
        <v>3</v>
      </c>
      <c r="B4" s="298" t="s">
        <v>40</v>
      </c>
      <c r="C4" s="298" t="s">
        <v>449</v>
      </c>
      <c r="D4" s="15">
        <v>1178.8739916110649</v>
      </c>
      <c r="E4" s="19">
        <v>1201.9833075891768</v>
      </c>
      <c r="F4" s="20">
        <v>1201.9833075891768</v>
      </c>
      <c r="H4" t="s">
        <v>1082</v>
      </c>
    </row>
    <row r="5" spans="1:8" ht="15" thickBot="1" x14ac:dyDescent="0.35">
      <c r="A5" s="18">
        <v>4</v>
      </c>
      <c r="B5" s="298" t="s">
        <v>198</v>
      </c>
      <c r="C5" s="298" t="s">
        <v>453</v>
      </c>
      <c r="D5" s="15">
        <v>1186.5140380302898</v>
      </c>
      <c r="E5" s="19">
        <v>1168.7870094576099</v>
      </c>
      <c r="F5" s="20">
        <v>1168.7870094576099</v>
      </c>
      <c r="H5" t="s">
        <v>1082</v>
      </c>
    </row>
    <row r="6" spans="1:8" ht="15" thickBot="1" x14ac:dyDescent="0.35">
      <c r="A6" s="18">
        <v>5</v>
      </c>
      <c r="B6" s="298" t="s">
        <v>447</v>
      </c>
      <c r="C6" s="298" t="s">
        <v>448</v>
      </c>
      <c r="D6" s="15">
        <v>1379.4866939693193</v>
      </c>
      <c r="E6" s="19">
        <v>1376.8957801204724</v>
      </c>
      <c r="F6" s="20">
        <v>1376.8957801204724</v>
      </c>
      <c r="H6" t="s">
        <v>1082</v>
      </c>
    </row>
    <row r="7" spans="1:8" ht="15" thickBot="1" x14ac:dyDescent="0.35">
      <c r="A7" s="18">
        <v>6</v>
      </c>
      <c r="B7" s="298" t="s">
        <v>29</v>
      </c>
      <c r="C7" s="298" t="s">
        <v>454</v>
      </c>
      <c r="D7" s="15">
        <v>1190.6568718953795</v>
      </c>
      <c r="E7" s="19">
        <v>1181.4470908066889</v>
      </c>
      <c r="F7" s="20">
        <v>1181.4470908066889</v>
      </c>
      <c r="H7" t="s">
        <v>1082</v>
      </c>
    </row>
    <row r="8" spans="1:8" ht="15" thickBot="1" x14ac:dyDescent="0.35">
      <c r="A8" s="18">
        <v>7</v>
      </c>
      <c r="B8" s="298" t="s">
        <v>200</v>
      </c>
      <c r="C8" s="298" t="s">
        <v>452</v>
      </c>
      <c r="D8" s="15">
        <v>1153.4695015289756</v>
      </c>
      <c r="E8" s="19">
        <v>1148.3194134379773</v>
      </c>
      <c r="F8" s="20">
        <v>1148.3194134379773</v>
      </c>
      <c r="H8" t="s">
        <v>1082</v>
      </c>
    </row>
    <row r="9" spans="1:8" ht="15" thickBot="1" x14ac:dyDescent="0.35">
      <c r="A9" s="18">
        <v>8</v>
      </c>
      <c r="B9" s="298" t="s">
        <v>455</v>
      </c>
      <c r="C9" s="298" t="s">
        <v>456</v>
      </c>
      <c r="D9" s="15">
        <v>1214.5304984710244</v>
      </c>
      <c r="E9" s="19">
        <v>1226.3973469482601</v>
      </c>
      <c r="F9" s="20">
        <v>1226.3973469482601</v>
      </c>
      <c r="H9" t="s">
        <v>1082</v>
      </c>
    </row>
    <row r="10" spans="1:8" ht="15" thickBot="1" x14ac:dyDescent="0.35">
      <c r="A10" s="18">
        <v>9</v>
      </c>
      <c r="B10" s="14"/>
      <c r="C10" s="14"/>
      <c r="D10" s="15" t="e">
        <v>#N/A</v>
      </c>
      <c r="E10" s="19" t="e">
        <v>#N/A</v>
      </c>
      <c r="F10" s="20" t="e">
        <v>#N/A</v>
      </c>
      <c r="H10" t="s">
        <v>1082</v>
      </c>
    </row>
    <row r="11" spans="1:8" x14ac:dyDescent="0.3">
      <c r="A11" s="58" t="s">
        <v>95</v>
      </c>
      <c r="B11" s="55"/>
      <c r="C11" s="55"/>
      <c r="D11" s="59"/>
      <c r="E11" s="55"/>
      <c r="F11" s="55"/>
      <c r="H11" t="s">
        <v>1082</v>
      </c>
    </row>
    <row r="12" spans="1:8" x14ac:dyDescent="0.3">
      <c r="A12" s="55" t="s">
        <v>450</v>
      </c>
      <c r="B12" s="55">
        <v>1254.9815924153156</v>
      </c>
      <c r="C12" s="55"/>
      <c r="D12" s="59"/>
      <c r="E12" s="55"/>
      <c r="F12" s="55"/>
      <c r="H12" t="s">
        <v>1082</v>
      </c>
    </row>
    <row r="13" spans="1:8" x14ac:dyDescent="0.3">
      <c r="A13" s="55" t="s">
        <v>198</v>
      </c>
      <c r="B13" s="55">
        <v>1168.7870094576099</v>
      </c>
      <c r="C13" s="55"/>
      <c r="D13" s="59"/>
      <c r="E13" s="55"/>
      <c r="F13" s="55"/>
      <c r="H13" t="s">
        <v>1082</v>
      </c>
    </row>
    <row r="14" spans="1:8" x14ac:dyDescent="0.3">
      <c r="A14" s="55" t="s">
        <v>447</v>
      </c>
      <c r="B14" s="55">
        <v>1376.8957801204724</v>
      </c>
      <c r="C14" s="55"/>
      <c r="D14" s="59"/>
      <c r="E14" s="55"/>
      <c r="F14" s="55"/>
      <c r="H14" t="s">
        <v>1082</v>
      </c>
    </row>
    <row r="15" spans="1:8" x14ac:dyDescent="0.3">
      <c r="A15" s="55" t="s">
        <v>455</v>
      </c>
      <c r="B15" s="55">
        <v>1226.3973469482601</v>
      </c>
      <c r="C15" s="55"/>
      <c r="D15" s="59"/>
      <c r="E15" s="55"/>
      <c r="F15" s="55"/>
      <c r="H15" t="s">
        <v>1082</v>
      </c>
    </row>
    <row r="16" spans="1:8" ht="15" thickBot="1" x14ac:dyDescent="0.35">
      <c r="A16" s="55" t="e">
        <v>#REF!</v>
      </c>
      <c r="B16" s="55" t="e">
        <v>#REF!</v>
      </c>
      <c r="C16" s="55"/>
      <c r="D16" s="59"/>
      <c r="E16" s="55"/>
      <c r="F16" s="55"/>
      <c r="H16" t="s">
        <v>1082</v>
      </c>
    </row>
    <row r="17" spans="1:8" ht="15" thickBot="1" x14ac:dyDescent="0.35">
      <c r="A17" s="7" t="s">
        <v>7</v>
      </c>
      <c r="B17" s="8" t="s">
        <v>8</v>
      </c>
      <c r="C17" s="9" t="s">
        <v>9</v>
      </c>
      <c r="D17" s="10" t="s">
        <v>10</v>
      </c>
      <c r="E17" s="11" t="s">
        <v>11</v>
      </c>
      <c r="F17" s="10" t="s">
        <v>12</v>
      </c>
      <c r="H17" t="s">
        <v>1083</v>
      </c>
    </row>
    <row r="18" spans="1:8" ht="15" thickBot="1" x14ac:dyDescent="0.35">
      <c r="A18" s="13">
        <v>1</v>
      </c>
      <c r="B18" s="298" t="s">
        <v>191</v>
      </c>
      <c r="C18" s="298" t="s">
        <v>446</v>
      </c>
      <c r="D18" s="15">
        <v>1200</v>
      </c>
      <c r="E18" s="16">
        <v>1185.4695015289756</v>
      </c>
      <c r="F18" s="17">
        <v>1185.4695015289756</v>
      </c>
      <c r="H18" t="s">
        <v>1083</v>
      </c>
    </row>
    <row r="19" spans="1:8" ht="15" thickBot="1" x14ac:dyDescent="0.35">
      <c r="A19" s="18">
        <v>2</v>
      </c>
      <c r="B19" s="298" t="s">
        <v>447</v>
      </c>
      <c r="C19" s="298" t="s">
        <v>448</v>
      </c>
      <c r="D19" s="15">
        <v>1389.1906269778058</v>
      </c>
      <c r="E19" s="19">
        <v>1379.4866939693193</v>
      </c>
      <c r="F19" s="20">
        <v>1379.4866939693193</v>
      </c>
      <c r="H19" t="s">
        <v>1083</v>
      </c>
    </row>
    <row r="20" spans="1:8" ht="15" thickBot="1" x14ac:dyDescent="0.35">
      <c r="A20" s="18">
        <v>3</v>
      </c>
      <c r="B20" s="298" t="s">
        <v>40</v>
      </c>
      <c r="C20" s="298" t="s">
        <v>449</v>
      </c>
      <c r="D20" s="15">
        <v>1189.1105508037228</v>
      </c>
      <c r="E20" s="19">
        <v>1178.8739916110649</v>
      </c>
      <c r="F20" s="20">
        <v>1178.8739916110649</v>
      </c>
      <c r="H20" t="s">
        <v>1083</v>
      </c>
    </row>
    <row r="21" spans="1:8" ht="15" thickBot="1" x14ac:dyDescent="0.35">
      <c r="A21" s="18">
        <v>4</v>
      </c>
      <c r="B21" s="298" t="s">
        <v>450</v>
      </c>
      <c r="C21" s="298" t="s">
        <v>451</v>
      </c>
      <c r="D21" s="15">
        <v>1200</v>
      </c>
      <c r="E21" s="19">
        <v>1246.5304984710244</v>
      </c>
      <c r="F21" s="20">
        <v>1246.5304984710244</v>
      </c>
      <c r="H21" t="s">
        <v>1083</v>
      </c>
    </row>
    <row r="22" spans="1:8" ht="15" thickBot="1" x14ac:dyDescent="0.35">
      <c r="A22" s="18">
        <v>5</v>
      </c>
      <c r="B22" s="298" t="s">
        <v>200</v>
      </c>
      <c r="C22" s="298" t="s">
        <v>452</v>
      </c>
      <c r="D22" s="15">
        <v>1200</v>
      </c>
      <c r="E22" s="19">
        <v>1153.4695015289756</v>
      </c>
      <c r="F22" s="20">
        <v>1153.4695015289756</v>
      </c>
      <c r="H22" t="s">
        <v>1083</v>
      </c>
    </row>
    <row r="23" spans="1:8" ht="15" thickBot="1" x14ac:dyDescent="0.35">
      <c r="A23" s="18">
        <v>6</v>
      </c>
      <c r="B23" s="298" t="s">
        <v>198</v>
      </c>
      <c r="C23" s="298" t="s">
        <v>453</v>
      </c>
      <c r="D23" s="15">
        <v>1157.2304177245248</v>
      </c>
      <c r="E23" s="19">
        <v>1186.5140380302898</v>
      </c>
      <c r="F23" s="20">
        <v>1186.5140380302898</v>
      </c>
      <c r="H23" t="s">
        <v>1083</v>
      </c>
    </row>
    <row r="24" spans="1:8" ht="15" thickBot="1" x14ac:dyDescent="0.35">
      <c r="A24" s="18">
        <v>7</v>
      </c>
      <c r="B24" s="298" t="s">
        <v>29</v>
      </c>
      <c r="C24" s="298" t="s">
        <v>454</v>
      </c>
      <c r="D24" s="15">
        <v>1200</v>
      </c>
      <c r="E24" s="19">
        <v>1190.6568718953795</v>
      </c>
      <c r="F24" s="20">
        <v>1190.6568718953795</v>
      </c>
      <c r="H24" t="s">
        <v>1083</v>
      </c>
    </row>
    <row r="25" spans="1:8" ht="15" thickBot="1" x14ac:dyDescent="0.35">
      <c r="A25" s="18">
        <v>8</v>
      </c>
      <c r="B25" s="298" t="s">
        <v>455</v>
      </c>
      <c r="C25" s="298" t="s">
        <v>456</v>
      </c>
      <c r="D25" s="15">
        <v>1200</v>
      </c>
      <c r="E25" s="19">
        <v>1214.5304984710244</v>
      </c>
      <c r="F25" s="20">
        <v>1214.5304984710244</v>
      </c>
      <c r="H25" t="s">
        <v>1083</v>
      </c>
    </row>
    <row r="26" spans="1:8" ht="15" thickBot="1" x14ac:dyDescent="0.35">
      <c r="A26" s="18">
        <v>9</v>
      </c>
      <c r="B26" s="14"/>
      <c r="C26" s="14"/>
      <c r="D26" s="15" t="e">
        <v>#N/A</v>
      </c>
      <c r="E26" s="19" t="e">
        <v>#N/A</v>
      </c>
      <c r="F26" s="20" t="e">
        <v>#N/A</v>
      </c>
      <c r="H26" t="s">
        <v>1083</v>
      </c>
    </row>
    <row r="27" spans="1:8" x14ac:dyDescent="0.3">
      <c r="A27" s="76">
        <v>10</v>
      </c>
      <c r="B27" s="77" t="s">
        <v>107</v>
      </c>
      <c r="C27" s="78" t="s">
        <v>108</v>
      </c>
      <c r="D27" s="4"/>
      <c r="E27" s="4"/>
      <c r="F27" s="4"/>
      <c r="H27" t="s">
        <v>1083</v>
      </c>
    </row>
    <row r="28" spans="1:8" x14ac:dyDescent="0.3">
      <c r="A28" s="76">
        <v>11</v>
      </c>
      <c r="B28" s="77" t="s">
        <v>109</v>
      </c>
      <c r="C28" s="78" t="s">
        <v>110</v>
      </c>
      <c r="D28" s="4"/>
      <c r="E28" s="4"/>
      <c r="F28" s="4"/>
      <c r="H28" t="s">
        <v>1083</v>
      </c>
    </row>
    <row r="29" spans="1:8" x14ac:dyDescent="0.3">
      <c r="A29" s="76">
        <v>12</v>
      </c>
      <c r="B29" s="77" t="s">
        <v>111</v>
      </c>
      <c r="C29" s="78" t="s">
        <v>112</v>
      </c>
      <c r="D29" s="4"/>
      <c r="E29" s="4"/>
      <c r="F29" s="4"/>
      <c r="H29" t="s">
        <v>1083</v>
      </c>
    </row>
    <row r="30" spans="1:8" x14ac:dyDescent="0.3">
      <c r="A30" s="76">
        <v>13</v>
      </c>
      <c r="B30" s="77" t="s">
        <v>113</v>
      </c>
      <c r="C30" s="78" t="s">
        <v>114</v>
      </c>
      <c r="D30" s="4"/>
      <c r="E30" s="4"/>
      <c r="F30" s="4"/>
      <c r="H30" t="s">
        <v>1083</v>
      </c>
    </row>
    <row r="31" spans="1:8" x14ac:dyDescent="0.3">
      <c r="A31" s="76">
        <v>14</v>
      </c>
      <c r="B31" s="77" t="s">
        <v>115</v>
      </c>
      <c r="C31" s="78" t="s">
        <v>116</v>
      </c>
      <c r="D31" s="4"/>
      <c r="E31" s="4"/>
      <c r="F31" s="4"/>
      <c r="H31" t="s">
        <v>1083</v>
      </c>
    </row>
    <row r="32" spans="1:8" x14ac:dyDescent="0.3">
      <c r="A32" s="76">
        <v>15</v>
      </c>
      <c r="B32" s="77" t="s">
        <v>117</v>
      </c>
      <c r="C32" s="78" t="s">
        <v>118</v>
      </c>
      <c r="D32" s="4"/>
      <c r="E32" s="4"/>
      <c r="F32" s="4"/>
      <c r="H32" t="s">
        <v>1083</v>
      </c>
    </row>
    <row r="33" spans="1:8" x14ac:dyDescent="0.3">
      <c r="A33" s="76">
        <v>16</v>
      </c>
      <c r="B33" s="77" t="s">
        <v>120</v>
      </c>
      <c r="C33" s="78" t="s">
        <v>121</v>
      </c>
      <c r="D33" s="4"/>
      <c r="E33" s="4"/>
      <c r="F33" s="4"/>
      <c r="H33" t="s">
        <v>1083</v>
      </c>
    </row>
    <row r="34" spans="1:8" x14ac:dyDescent="0.3">
      <c r="A34" s="58" t="s">
        <v>95</v>
      </c>
      <c r="B34" s="55"/>
      <c r="C34" s="55"/>
      <c r="D34" s="59"/>
      <c r="E34" s="55"/>
      <c r="F34" s="55"/>
      <c r="H34" t="s">
        <v>1083</v>
      </c>
    </row>
    <row r="35" spans="1:8" x14ac:dyDescent="0.3">
      <c r="A35" s="55" t="s">
        <v>191</v>
      </c>
      <c r="B35" s="55">
        <v>1185.4695015289756</v>
      </c>
      <c r="C35" s="55"/>
      <c r="D35" s="59"/>
      <c r="E35" s="55"/>
      <c r="F35" s="55"/>
      <c r="H35" t="s">
        <v>1083</v>
      </c>
    </row>
    <row r="36" spans="1:8" x14ac:dyDescent="0.3">
      <c r="A36" s="55" t="s">
        <v>450</v>
      </c>
      <c r="B36" s="55">
        <v>1246.5304984710244</v>
      </c>
      <c r="C36" s="55"/>
      <c r="D36" s="59"/>
      <c r="E36" s="55"/>
      <c r="F36" s="55"/>
      <c r="H36" t="s">
        <v>1083</v>
      </c>
    </row>
    <row r="37" spans="1:8" x14ac:dyDescent="0.3">
      <c r="A37" s="55" t="s">
        <v>200</v>
      </c>
      <c r="B37" s="55">
        <v>1153.4695015289756</v>
      </c>
      <c r="C37" s="55"/>
      <c r="D37" s="59"/>
      <c r="E37" s="55"/>
      <c r="F37" s="55"/>
      <c r="H37" t="s">
        <v>1083</v>
      </c>
    </row>
    <row r="38" spans="1:8" x14ac:dyDescent="0.3">
      <c r="A38" s="55" t="s">
        <v>455</v>
      </c>
      <c r="B38" s="55">
        <v>1214.5304984710244</v>
      </c>
      <c r="C38" s="55"/>
      <c r="D38" s="59"/>
      <c r="E38" s="55"/>
      <c r="F38" s="55"/>
      <c r="H38" t="s">
        <v>1083</v>
      </c>
    </row>
    <row r="39" spans="1:8" ht="15" thickBot="1" x14ac:dyDescent="0.35">
      <c r="A39" s="55">
        <v>0</v>
      </c>
      <c r="B39" s="55" t="e">
        <v>#N/A</v>
      </c>
      <c r="C39" s="55"/>
      <c r="D39" s="59"/>
      <c r="E39" s="55"/>
      <c r="F39" s="55"/>
      <c r="H39" t="s">
        <v>1083</v>
      </c>
    </row>
    <row r="40" spans="1:8" ht="15" thickBot="1" x14ac:dyDescent="0.35">
      <c r="A40" s="7" t="s">
        <v>7</v>
      </c>
      <c r="B40" s="8" t="s">
        <v>8</v>
      </c>
      <c r="C40" s="9" t="s">
        <v>9</v>
      </c>
      <c r="D40" s="10" t="s">
        <v>10</v>
      </c>
      <c r="E40" s="11" t="s">
        <v>11</v>
      </c>
      <c r="F40" s="10" t="s">
        <v>12</v>
      </c>
      <c r="H40" t="s">
        <v>1084</v>
      </c>
    </row>
    <row r="41" spans="1:8" ht="15" thickBot="1" x14ac:dyDescent="0.35">
      <c r="A41" s="13">
        <v>1</v>
      </c>
      <c r="B41" s="298" t="s">
        <v>469</v>
      </c>
      <c r="C41" s="298" t="s">
        <v>470</v>
      </c>
      <c r="D41" s="15">
        <v>1230.5154731351377</v>
      </c>
      <c r="E41" s="16">
        <v>1223.6919791768021</v>
      </c>
      <c r="F41" s="17">
        <v>1223.6919791768021</v>
      </c>
      <c r="H41" t="s">
        <v>1084</v>
      </c>
    </row>
    <row r="42" spans="1:8" ht="15" thickBot="1" x14ac:dyDescent="0.35">
      <c r="A42" s="18">
        <v>2</v>
      </c>
      <c r="B42" s="298" t="s">
        <v>463</v>
      </c>
      <c r="C42" s="298" t="s">
        <v>464</v>
      </c>
      <c r="D42" s="15">
        <v>1182.2992844711323</v>
      </c>
      <c r="E42" s="19">
        <v>1191.5286506498262</v>
      </c>
      <c r="F42" s="20">
        <v>1191.5286506498262</v>
      </c>
      <c r="H42" t="s">
        <v>1084</v>
      </c>
    </row>
    <row r="43" spans="1:8" ht="15" thickBot="1" x14ac:dyDescent="0.35">
      <c r="A43" s="18">
        <v>3</v>
      </c>
      <c r="B43" s="298" t="s">
        <v>459</v>
      </c>
      <c r="C43" s="298" t="s">
        <v>460</v>
      </c>
      <c r="D43" s="15">
        <v>1223.1136240322348</v>
      </c>
      <c r="E43" s="19">
        <v>1228.0201576130883</v>
      </c>
      <c r="F43" s="20">
        <v>1228.0201576130883</v>
      </c>
      <c r="H43" t="s">
        <v>1084</v>
      </c>
    </row>
    <row r="44" spans="1:8" ht="15" thickBot="1" x14ac:dyDescent="0.35">
      <c r="A44" s="18">
        <v>4</v>
      </c>
      <c r="B44" s="298" t="s">
        <v>465</v>
      </c>
      <c r="C44" s="298" t="s">
        <v>466</v>
      </c>
      <c r="D44" s="15">
        <v>1223.116601965821</v>
      </c>
      <c r="E44" s="19">
        <v>1232.9485890312642</v>
      </c>
      <c r="F44" s="20">
        <v>1232.9485890312642</v>
      </c>
      <c r="H44" t="s">
        <v>1084</v>
      </c>
    </row>
    <row r="45" spans="1:8" ht="15" thickBot="1" x14ac:dyDescent="0.35">
      <c r="A45" s="18">
        <v>5</v>
      </c>
      <c r="B45" s="298" t="s">
        <v>207</v>
      </c>
      <c r="C45" s="298" t="s">
        <v>461</v>
      </c>
      <c r="D45" s="15">
        <v>1307.5745496164714</v>
      </c>
      <c r="E45" s="19">
        <v>1309.2757150235238</v>
      </c>
      <c r="F45" s="20">
        <v>1309.2757150235238</v>
      </c>
      <c r="H45" t="s">
        <v>1084</v>
      </c>
    </row>
    <row r="46" spans="1:8" ht="15" thickBot="1" x14ac:dyDescent="0.35">
      <c r="A46" s="18">
        <v>6</v>
      </c>
      <c r="B46" s="298" t="s">
        <v>467</v>
      </c>
      <c r="C46" s="298" t="s">
        <v>468</v>
      </c>
      <c r="D46" s="15">
        <v>1244.7621216501866</v>
      </c>
      <c r="E46" s="19">
        <v>1232.4941294996088</v>
      </c>
      <c r="F46" s="20">
        <v>1232.4941294996088</v>
      </c>
      <c r="H46" t="s">
        <v>1084</v>
      </c>
    </row>
    <row r="47" spans="1:8" ht="15" thickBot="1" x14ac:dyDescent="0.35">
      <c r="A47" s="18">
        <v>7</v>
      </c>
      <c r="B47" s="298" t="s">
        <v>202</v>
      </c>
      <c r="C47" s="298" t="s">
        <v>462</v>
      </c>
      <c r="D47" s="15">
        <v>1134.0505608585845</v>
      </c>
      <c r="E47" s="19">
        <v>1132.182653249615</v>
      </c>
      <c r="F47" s="20">
        <v>1132.182653249615</v>
      </c>
      <c r="H47" t="s">
        <v>1084</v>
      </c>
    </row>
    <row r="48" spans="1:8" ht="15" thickBot="1" x14ac:dyDescent="0.35">
      <c r="A48" s="18">
        <v>8</v>
      </c>
      <c r="B48" s="298" t="s">
        <v>457</v>
      </c>
      <c r="C48" s="298" t="s">
        <v>458</v>
      </c>
      <c r="D48" s="15">
        <v>1214.3094996726038</v>
      </c>
      <c r="E48" s="19">
        <v>1209.5998411584437</v>
      </c>
      <c r="F48" s="20">
        <v>1209.5998411584437</v>
      </c>
      <c r="H48" t="s">
        <v>1084</v>
      </c>
    </row>
    <row r="49" spans="1:8" ht="15" thickBot="1" x14ac:dyDescent="0.35">
      <c r="A49" s="18">
        <v>9</v>
      </c>
      <c r="B49" s="14"/>
      <c r="C49" s="14"/>
      <c r="D49" s="15" t="e">
        <v>#N/A</v>
      </c>
      <c r="E49" s="19" t="e">
        <v>#N/A</v>
      </c>
      <c r="F49" s="20" t="e">
        <v>#N/A</v>
      </c>
      <c r="H49" t="s">
        <v>1084</v>
      </c>
    </row>
    <row r="50" spans="1:8" x14ac:dyDescent="0.3">
      <c r="A50" s="58" t="s">
        <v>95</v>
      </c>
      <c r="B50" s="55"/>
      <c r="C50" s="55"/>
      <c r="D50" s="59"/>
      <c r="E50" s="55"/>
      <c r="F50" s="55"/>
      <c r="H50" t="s">
        <v>1084</v>
      </c>
    </row>
    <row r="51" spans="1:8" x14ac:dyDescent="0.3">
      <c r="A51" s="55" t="s">
        <v>469</v>
      </c>
      <c r="B51" s="55">
        <v>1223.6919791768021</v>
      </c>
      <c r="C51" s="55"/>
      <c r="D51" s="59"/>
      <c r="E51" s="55"/>
      <c r="F51" s="55"/>
      <c r="H51" t="s">
        <v>1084</v>
      </c>
    </row>
    <row r="52" spans="1:8" x14ac:dyDescent="0.3">
      <c r="A52" s="55" t="s">
        <v>465</v>
      </c>
      <c r="B52" s="55">
        <v>1232.9485890312642</v>
      </c>
      <c r="C52" s="55"/>
      <c r="D52" s="59"/>
      <c r="E52" s="55"/>
      <c r="F52" s="55"/>
      <c r="H52" t="s">
        <v>1084</v>
      </c>
    </row>
    <row r="53" spans="1:8" x14ac:dyDescent="0.3">
      <c r="A53" s="55" t="s">
        <v>207</v>
      </c>
      <c r="B53" s="55">
        <v>1309.2757150235238</v>
      </c>
      <c r="C53" s="55"/>
      <c r="D53" s="59"/>
      <c r="E53" s="55"/>
      <c r="F53" s="55"/>
      <c r="H53" t="s">
        <v>1084</v>
      </c>
    </row>
    <row r="54" spans="1:8" x14ac:dyDescent="0.3">
      <c r="A54" s="55" t="s">
        <v>457</v>
      </c>
      <c r="B54" s="55">
        <v>1209.5998411584437</v>
      </c>
      <c r="C54" s="55"/>
      <c r="D54" s="59"/>
      <c r="E54" s="55"/>
      <c r="F54" s="55"/>
      <c r="H54" t="s">
        <v>1084</v>
      </c>
    </row>
    <row r="55" spans="1:8" ht="15" thickBot="1" x14ac:dyDescent="0.35">
      <c r="A55" s="55" t="e">
        <v>#REF!</v>
      </c>
      <c r="B55" s="55" t="e">
        <v>#REF!</v>
      </c>
      <c r="C55" s="55"/>
      <c r="D55" s="59"/>
      <c r="E55" s="55"/>
      <c r="F55" s="55"/>
      <c r="H55" t="s">
        <v>1084</v>
      </c>
    </row>
    <row r="56" spans="1:8" ht="15" thickBot="1" x14ac:dyDescent="0.35">
      <c r="A56" s="7" t="s">
        <v>7</v>
      </c>
      <c r="B56" s="8" t="s">
        <v>8</v>
      </c>
      <c r="C56" s="9" t="s">
        <v>9</v>
      </c>
      <c r="D56" s="10" t="s">
        <v>10</v>
      </c>
      <c r="E56" s="11" t="s">
        <v>11</v>
      </c>
      <c r="F56" s="10" t="s">
        <v>12</v>
      </c>
      <c r="H56" t="s">
        <v>1085</v>
      </c>
    </row>
    <row r="57" spans="1:8" ht="15" thickBot="1" x14ac:dyDescent="0.35">
      <c r="A57" s="13">
        <v>1</v>
      </c>
      <c r="B57" s="298" t="s">
        <v>457</v>
      </c>
      <c r="C57" s="298" t="s">
        <v>458</v>
      </c>
      <c r="D57" s="15">
        <v>1200</v>
      </c>
      <c r="E57" s="16">
        <v>1214.3094996726038</v>
      </c>
      <c r="F57" s="17">
        <v>1214.3094996726038</v>
      </c>
      <c r="H57" t="s">
        <v>1085</v>
      </c>
    </row>
    <row r="58" spans="1:8" ht="15" thickBot="1" x14ac:dyDescent="0.35">
      <c r="A58" s="18">
        <v>2</v>
      </c>
      <c r="B58" s="298" t="s">
        <v>459</v>
      </c>
      <c r="C58" s="298" t="s">
        <v>460</v>
      </c>
      <c r="D58" s="15">
        <v>1200</v>
      </c>
      <c r="E58" s="19">
        <v>1223.1136240322348</v>
      </c>
      <c r="F58" s="20">
        <v>1223.1136240322348</v>
      </c>
      <c r="H58" t="s">
        <v>1085</v>
      </c>
    </row>
    <row r="59" spans="1:8" ht="15" thickBot="1" x14ac:dyDescent="0.35">
      <c r="A59" s="18">
        <v>3</v>
      </c>
      <c r="B59" s="298" t="s">
        <v>207</v>
      </c>
      <c r="C59" s="298" t="s">
        <v>461</v>
      </c>
      <c r="D59" s="15">
        <v>1298.5668972647138</v>
      </c>
      <c r="E59" s="19">
        <v>1307.5745496164714</v>
      </c>
      <c r="F59" s="20">
        <v>1307.5745496164714</v>
      </c>
      <c r="H59" t="s">
        <v>1085</v>
      </c>
    </row>
    <row r="60" spans="1:8" ht="15" thickBot="1" x14ac:dyDescent="0.35">
      <c r="A60" s="18">
        <v>4</v>
      </c>
      <c r="B60" s="298" t="s">
        <v>202</v>
      </c>
      <c r="C60" s="298" t="s">
        <v>462</v>
      </c>
      <c r="D60" s="15">
        <v>1176.7513934507317</v>
      </c>
      <c r="E60" s="19">
        <v>1134.0505608585845</v>
      </c>
      <c r="F60" s="20">
        <v>1134.0505608585845</v>
      </c>
      <c r="H60" t="s">
        <v>1085</v>
      </c>
    </row>
    <row r="61" spans="1:8" ht="15" thickBot="1" x14ac:dyDescent="0.35">
      <c r="A61" s="18">
        <v>5</v>
      </c>
      <c r="B61" s="298" t="s">
        <v>463</v>
      </c>
      <c r="C61" s="298" t="s">
        <v>464</v>
      </c>
      <c r="D61" s="15">
        <v>1200</v>
      </c>
      <c r="E61" s="19">
        <v>1182.2992844711323</v>
      </c>
      <c r="F61" s="20">
        <v>1182.2992844711323</v>
      </c>
      <c r="H61" t="s">
        <v>1085</v>
      </c>
    </row>
    <row r="62" spans="1:8" ht="15" thickBot="1" x14ac:dyDescent="0.35">
      <c r="A62" s="18">
        <v>6</v>
      </c>
      <c r="B62" s="298" t="s">
        <v>465</v>
      </c>
      <c r="C62" s="298" t="s">
        <v>466</v>
      </c>
      <c r="D62" s="15">
        <v>1200</v>
      </c>
      <c r="E62" s="19">
        <v>1223.116601965821</v>
      </c>
      <c r="F62" s="20">
        <v>1223.116601965821</v>
      </c>
      <c r="H62" t="s">
        <v>1085</v>
      </c>
    </row>
    <row r="63" spans="1:8" ht="15" thickBot="1" x14ac:dyDescent="0.35">
      <c r="A63" s="18">
        <v>7</v>
      </c>
      <c r="B63" s="298" t="s">
        <v>467</v>
      </c>
      <c r="C63" s="298" t="s">
        <v>468</v>
      </c>
      <c r="D63" s="15">
        <v>1300</v>
      </c>
      <c r="E63" s="19">
        <v>1244.7621216501866</v>
      </c>
      <c r="F63" s="20">
        <v>1244.7621216501866</v>
      </c>
      <c r="H63" t="s">
        <v>1085</v>
      </c>
    </row>
    <row r="64" spans="1:8" ht="15" thickBot="1" x14ac:dyDescent="0.35">
      <c r="A64" s="18">
        <v>8</v>
      </c>
      <c r="B64" s="298" t="s">
        <v>469</v>
      </c>
      <c r="C64" s="298" t="s">
        <v>470</v>
      </c>
      <c r="D64" s="15">
        <v>1184.4234246867265</v>
      </c>
      <c r="E64" s="19">
        <v>1230.5154731351377</v>
      </c>
      <c r="F64" s="20">
        <v>1230.5154731351377</v>
      </c>
      <c r="H64" t="s">
        <v>1085</v>
      </c>
    </row>
    <row r="65" spans="1:8" ht="15" thickBot="1" x14ac:dyDescent="0.35">
      <c r="A65" s="18">
        <v>9</v>
      </c>
      <c r="B65" s="14"/>
      <c r="C65" s="14"/>
      <c r="D65" s="15" t="e">
        <v>#N/A</v>
      </c>
      <c r="E65" s="19" t="e">
        <v>#N/A</v>
      </c>
      <c r="F65" s="20" t="e">
        <v>#N/A</v>
      </c>
      <c r="H65" t="s">
        <v>1085</v>
      </c>
    </row>
    <row r="66" spans="1:8" x14ac:dyDescent="0.3">
      <c r="A66" s="76">
        <v>10</v>
      </c>
      <c r="B66" s="77" t="s">
        <v>107</v>
      </c>
      <c r="C66" s="78" t="s">
        <v>108</v>
      </c>
      <c r="D66" s="4"/>
      <c r="E66" s="4"/>
      <c r="F66" s="4"/>
      <c r="H66" t="s">
        <v>1085</v>
      </c>
    </row>
    <row r="67" spans="1:8" x14ac:dyDescent="0.3">
      <c r="A67" s="76">
        <v>11</v>
      </c>
      <c r="B67" s="77" t="s">
        <v>109</v>
      </c>
      <c r="C67" s="78" t="s">
        <v>110</v>
      </c>
      <c r="D67" s="4"/>
      <c r="E67" s="4"/>
      <c r="F67" s="4"/>
      <c r="H67" t="s">
        <v>1085</v>
      </c>
    </row>
    <row r="68" spans="1:8" x14ac:dyDescent="0.3">
      <c r="A68" s="76">
        <v>12</v>
      </c>
      <c r="B68" s="77" t="s">
        <v>111</v>
      </c>
      <c r="C68" s="78" t="s">
        <v>112</v>
      </c>
      <c r="D68" s="4"/>
      <c r="E68" s="4"/>
      <c r="F68" s="4"/>
      <c r="H68" t="s">
        <v>1085</v>
      </c>
    </row>
    <row r="69" spans="1:8" x14ac:dyDescent="0.3">
      <c r="A69" s="76">
        <v>13</v>
      </c>
      <c r="B69" s="77" t="s">
        <v>113</v>
      </c>
      <c r="C69" s="78" t="s">
        <v>114</v>
      </c>
      <c r="D69" s="4"/>
      <c r="E69" s="4"/>
      <c r="F69" s="4"/>
      <c r="H69" t="s">
        <v>1085</v>
      </c>
    </row>
    <row r="70" spans="1:8" x14ac:dyDescent="0.3">
      <c r="A70" s="76">
        <v>14</v>
      </c>
      <c r="B70" s="77" t="s">
        <v>115</v>
      </c>
      <c r="C70" s="78" t="s">
        <v>116</v>
      </c>
      <c r="D70" s="4"/>
      <c r="E70" s="4"/>
      <c r="F70" s="4"/>
      <c r="H70" t="s">
        <v>1085</v>
      </c>
    </row>
    <row r="71" spans="1:8" x14ac:dyDescent="0.3">
      <c r="A71" s="76">
        <v>15</v>
      </c>
      <c r="B71" s="77" t="s">
        <v>117</v>
      </c>
      <c r="C71" s="78" t="s">
        <v>118</v>
      </c>
      <c r="D71" s="4"/>
      <c r="E71" s="4"/>
      <c r="F71" s="4"/>
      <c r="H71" t="s">
        <v>1085</v>
      </c>
    </row>
    <row r="72" spans="1:8" x14ac:dyDescent="0.3">
      <c r="A72" s="76">
        <v>16</v>
      </c>
      <c r="B72" s="77" t="s">
        <v>120</v>
      </c>
      <c r="C72" s="78" t="s">
        <v>121</v>
      </c>
      <c r="D72" s="4"/>
      <c r="E72" s="4"/>
      <c r="F72" s="4"/>
      <c r="H72" t="s">
        <v>1085</v>
      </c>
    </row>
    <row r="73" spans="1:8" x14ac:dyDescent="0.3">
      <c r="A73" s="58" t="s">
        <v>95</v>
      </c>
      <c r="B73" s="55"/>
      <c r="C73" s="55"/>
      <c r="D73" s="59"/>
      <c r="E73" s="55"/>
      <c r="F73" s="55"/>
      <c r="H73" t="s">
        <v>1085</v>
      </c>
    </row>
    <row r="74" spans="1:8" x14ac:dyDescent="0.3">
      <c r="A74" s="55" t="s">
        <v>457</v>
      </c>
      <c r="B74" s="55">
        <v>1214.3094996726038</v>
      </c>
      <c r="C74" s="55"/>
      <c r="D74" s="59"/>
      <c r="E74" s="55"/>
      <c r="F74" s="55"/>
      <c r="H74" t="s">
        <v>1085</v>
      </c>
    </row>
    <row r="75" spans="1:8" x14ac:dyDescent="0.3">
      <c r="A75" s="55" t="s">
        <v>202</v>
      </c>
      <c r="B75" s="55">
        <v>1134.0505608585845</v>
      </c>
      <c r="C75" s="55"/>
      <c r="D75" s="59"/>
      <c r="E75" s="55"/>
      <c r="F75" s="55"/>
      <c r="H75" t="s">
        <v>1085</v>
      </c>
    </row>
    <row r="76" spans="1:8" x14ac:dyDescent="0.3">
      <c r="A76" s="55" t="s">
        <v>463</v>
      </c>
      <c r="B76" s="55">
        <v>1182.2992844711323</v>
      </c>
      <c r="C76" s="55"/>
      <c r="D76" s="59"/>
      <c r="E76" s="55"/>
      <c r="F76" s="55"/>
      <c r="H76" t="s">
        <v>1085</v>
      </c>
    </row>
    <row r="77" spans="1:8" x14ac:dyDescent="0.3">
      <c r="A77" s="55" t="s">
        <v>469</v>
      </c>
      <c r="B77" s="55">
        <v>1230.5154731351377</v>
      </c>
      <c r="C77" s="55"/>
      <c r="D77" s="59"/>
      <c r="E77" s="55"/>
      <c r="F77" s="55"/>
      <c r="H77" t="s">
        <v>1085</v>
      </c>
    </row>
    <row r="78" spans="1:8" x14ac:dyDescent="0.3">
      <c r="A78" s="55">
        <v>0</v>
      </c>
      <c r="B78" s="55" t="e">
        <v>#N/A</v>
      </c>
      <c r="C78" s="55"/>
      <c r="D78" s="59"/>
      <c r="E78" s="55"/>
      <c r="F78" s="55"/>
      <c r="H78" t="s">
        <v>1085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4"/>
  <sheetViews>
    <sheetView workbookViewId="0">
      <selection activeCell="J4" sqref="J4"/>
    </sheetView>
  </sheetViews>
  <sheetFormatPr defaultColWidth="9.109375" defaultRowHeight="14.4" x14ac:dyDescent="0.3"/>
  <cols>
    <col min="1" max="1" width="5.44140625" style="85" customWidth="1"/>
    <col min="2" max="2" width="2" style="85" customWidth="1"/>
    <col min="3" max="3" width="3" style="85" customWidth="1"/>
    <col min="4" max="4" width="5.33203125" style="85" customWidth="1"/>
    <col min="5" max="5" width="4.44140625" style="85" customWidth="1"/>
    <col min="6" max="6" width="7.109375" style="85" customWidth="1"/>
    <col min="7" max="7" width="13.88671875" style="85" customWidth="1"/>
    <col min="8" max="8" width="36.88671875" style="85" customWidth="1"/>
    <col min="9" max="9" width="28.44140625" style="85" customWidth="1"/>
    <col min="10" max="10" width="5.6640625" style="85" customWidth="1"/>
    <col min="11" max="11" width="13.88671875" style="86" customWidth="1"/>
    <col min="12" max="12" width="5" style="85" customWidth="1"/>
    <col min="13" max="13" width="10" style="86" customWidth="1"/>
    <col min="14" max="27" width="7.5546875" style="85" customWidth="1"/>
    <col min="28" max="33" width="9.109375" style="85"/>
    <col min="34" max="35" width="12" customWidth="1"/>
    <col min="36" max="16384" width="9.109375" style="85"/>
  </cols>
  <sheetData>
    <row r="1" spans="1:27" ht="28.8" x14ac:dyDescent="0.3">
      <c r="A1" s="299" t="s">
        <v>135</v>
      </c>
      <c r="C1" s="85" t="s">
        <v>136</v>
      </c>
      <c r="D1" s="85" t="s">
        <v>137</v>
      </c>
      <c r="E1" s="85" t="s">
        <v>15</v>
      </c>
      <c r="F1" s="85" t="s">
        <v>471</v>
      </c>
      <c r="G1" s="85" t="s">
        <v>472</v>
      </c>
      <c r="H1" s="85" t="s">
        <v>138</v>
      </c>
      <c r="I1" s="85" t="s">
        <v>8</v>
      </c>
      <c r="J1" s="85" t="s">
        <v>139</v>
      </c>
      <c r="K1" s="86" t="s">
        <v>140</v>
      </c>
      <c r="M1" s="86" t="s">
        <v>96</v>
      </c>
      <c r="N1" s="300" t="s">
        <v>473</v>
      </c>
      <c r="O1" s="300" t="s">
        <v>474</v>
      </c>
      <c r="P1" s="300" t="s">
        <v>475</v>
      </c>
      <c r="Q1" s="300" t="s">
        <v>476</v>
      </c>
      <c r="R1" s="300" t="s">
        <v>477</v>
      </c>
      <c r="S1" s="300" t="s">
        <v>478</v>
      </c>
      <c r="T1" s="300" t="s">
        <v>479</v>
      </c>
      <c r="U1" s="300" t="s">
        <v>480</v>
      </c>
      <c r="V1" s="300" t="s">
        <v>481</v>
      </c>
      <c r="W1" s="300" t="s">
        <v>482</v>
      </c>
      <c r="X1" s="300" t="s">
        <v>483</v>
      </c>
      <c r="Y1" s="300" t="s">
        <v>484</v>
      </c>
      <c r="Z1" s="300" t="s">
        <v>485</v>
      </c>
      <c r="AA1" s="300" t="s">
        <v>486</v>
      </c>
    </row>
    <row r="2" spans="1:27" x14ac:dyDescent="0.3">
      <c r="A2" s="85">
        <v>2</v>
      </c>
      <c r="C2" s="85">
        <f t="shared" ref="C2:C65" si="0">IF(E2=E1,C1+1,1)</f>
        <v>1</v>
      </c>
      <c r="D2" s="85">
        <f t="shared" ref="D2:D65" si="1">IF(K2=K1,D1,C2)</f>
        <v>1</v>
      </c>
      <c r="E2" s="85">
        <f t="shared" ref="E2:E65" si="2">10+VALUE(RIGHT(LEFT(G2,3),1))</f>
        <v>11</v>
      </c>
      <c r="F2" s="85" t="str">
        <f t="shared" ref="F2:F65" si="3">RIGHT(G2,2) &amp; IF(A2&lt;2,"x","")</f>
        <v>pm</v>
      </c>
      <c r="G2" s="85" t="s">
        <v>141</v>
      </c>
      <c r="H2" s="85" t="s">
        <v>142</v>
      </c>
      <c r="I2" s="85" t="s">
        <v>143</v>
      </c>
      <c r="J2" s="85">
        <f>COUNT(R:R)</f>
        <v>100</v>
      </c>
      <c r="K2" s="86">
        <f t="shared" ref="K2:K65" si="4">LOOKUP(1E+100,M2:AB2)</f>
        <v>1545.059815930156</v>
      </c>
      <c r="M2" s="86">
        <v>1600</v>
      </c>
      <c r="P2" s="85">
        <v>1545.059815930156</v>
      </c>
    </row>
    <row r="3" spans="1:27" x14ac:dyDescent="0.3">
      <c r="A3" s="85">
        <v>2</v>
      </c>
      <c r="C3" s="85">
        <f t="shared" si="0"/>
        <v>2</v>
      </c>
      <c r="D3" s="85">
        <f t="shared" si="1"/>
        <v>2</v>
      </c>
      <c r="E3" s="85">
        <f t="shared" si="2"/>
        <v>11</v>
      </c>
      <c r="F3" s="85" t="str">
        <f t="shared" si="3"/>
        <v>pm</v>
      </c>
      <c r="G3" s="85" t="s">
        <v>487</v>
      </c>
      <c r="H3" s="85" t="s">
        <v>142</v>
      </c>
      <c r="I3" s="85" t="s">
        <v>488</v>
      </c>
      <c r="J3" s="85">
        <v>100</v>
      </c>
      <c r="K3" s="86">
        <f t="shared" si="4"/>
        <v>1493.4578356862332</v>
      </c>
      <c r="M3" s="86">
        <v>1600</v>
      </c>
      <c r="P3" s="85">
        <v>1493.4578356862332</v>
      </c>
    </row>
    <row r="4" spans="1:27" x14ac:dyDescent="0.3">
      <c r="A4" s="85">
        <v>2</v>
      </c>
      <c r="C4" s="85">
        <f t="shared" si="0"/>
        <v>3</v>
      </c>
      <c r="D4" s="85">
        <f t="shared" si="1"/>
        <v>3</v>
      </c>
      <c r="E4" s="85">
        <f t="shared" si="2"/>
        <v>11</v>
      </c>
      <c r="F4" s="85" t="str">
        <f t="shared" si="3"/>
        <v>cr</v>
      </c>
      <c r="G4" s="85" t="s">
        <v>489</v>
      </c>
      <c r="H4" s="85" t="s">
        <v>490</v>
      </c>
      <c r="I4" s="85" t="s">
        <v>491</v>
      </c>
      <c r="K4" s="86">
        <f t="shared" si="4"/>
        <v>1300</v>
      </c>
      <c r="M4" s="86">
        <v>1300</v>
      </c>
    </row>
    <row r="5" spans="1:27" x14ac:dyDescent="0.3">
      <c r="A5" s="85">
        <v>2</v>
      </c>
      <c r="C5" s="85">
        <f t="shared" si="0"/>
        <v>4</v>
      </c>
      <c r="D5" s="85">
        <f t="shared" si="1"/>
        <v>4</v>
      </c>
      <c r="E5" s="85">
        <f t="shared" si="2"/>
        <v>11</v>
      </c>
      <c r="F5" s="85" t="str">
        <f t="shared" si="3"/>
        <v>pm</v>
      </c>
      <c r="G5" s="85" t="s">
        <v>492</v>
      </c>
      <c r="H5" s="85" t="s">
        <v>206</v>
      </c>
      <c r="I5" s="85" t="s">
        <v>493</v>
      </c>
      <c r="K5" s="86">
        <f t="shared" si="4"/>
        <v>1200</v>
      </c>
      <c r="M5" s="86">
        <v>1200</v>
      </c>
    </row>
    <row r="6" spans="1:27" x14ac:dyDescent="0.3">
      <c r="A6" s="85">
        <v>3</v>
      </c>
      <c r="C6" s="85">
        <f t="shared" si="0"/>
        <v>5</v>
      </c>
      <c r="D6" s="85">
        <f t="shared" si="1"/>
        <v>4</v>
      </c>
      <c r="E6" s="85">
        <f t="shared" si="2"/>
        <v>11</v>
      </c>
      <c r="F6" s="85" t="str">
        <f t="shared" si="3"/>
        <v>cr</v>
      </c>
      <c r="G6" s="85" t="s">
        <v>494</v>
      </c>
      <c r="H6" s="85" t="s">
        <v>495</v>
      </c>
      <c r="I6" s="85" t="s">
        <v>459</v>
      </c>
      <c r="K6" s="86">
        <f t="shared" si="4"/>
        <v>1200</v>
      </c>
      <c r="M6" s="86">
        <v>1200</v>
      </c>
    </row>
    <row r="7" spans="1:27" x14ac:dyDescent="0.3">
      <c r="A7" s="85">
        <v>1</v>
      </c>
      <c r="C7" s="85">
        <f t="shared" si="0"/>
        <v>1</v>
      </c>
      <c r="D7" s="85">
        <f t="shared" si="1"/>
        <v>1</v>
      </c>
      <c r="E7" s="85">
        <f t="shared" si="2"/>
        <v>12</v>
      </c>
      <c r="F7" s="85" t="str">
        <f t="shared" si="3"/>
        <v>pmx</v>
      </c>
      <c r="G7" s="85" t="s">
        <v>146</v>
      </c>
      <c r="H7" s="85" t="s">
        <v>147</v>
      </c>
      <c r="I7" s="85" t="s">
        <v>148</v>
      </c>
      <c r="K7" s="86">
        <f t="shared" si="4"/>
        <v>1616.4772022793688</v>
      </c>
      <c r="M7" s="86">
        <v>1600</v>
      </c>
      <c r="P7" s="85">
        <v>1616.4772022793688</v>
      </c>
    </row>
    <row r="8" spans="1:27" x14ac:dyDescent="0.3">
      <c r="A8" s="85">
        <v>1</v>
      </c>
      <c r="C8" s="85">
        <f t="shared" si="0"/>
        <v>2</v>
      </c>
      <c r="D8" s="85">
        <f t="shared" si="1"/>
        <v>2</v>
      </c>
      <c r="E8" s="85">
        <f t="shared" si="2"/>
        <v>12</v>
      </c>
      <c r="F8" s="85" t="str">
        <f t="shared" si="3"/>
        <v>pmx</v>
      </c>
      <c r="G8" s="85" t="s">
        <v>43</v>
      </c>
      <c r="H8" s="85" t="s">
        <v>206</v>
      </c>
      <c r="I8" s="85" t="s">
        <v>496</v>
      </c>
      <c r="K8" s="86">
        <f t="shared" si="4"/>
        <v>1686.8133258533544</v>
      </c>
      <c r="M8" s="86">
        <v>1600</v>
      </c>
      <c r="P8" s="85">
        <v>1686.8133258533544</v>
      </c>
    </row>
    <row r="9" spans="1:27" x14ac:dyDescent="0.3">
      <c r="A9" s="85">
        <v>1</v>
      </c>
      <c r="C9" s="85">
        <f t="shared" si="0"/>
        <v>3</v>
      </c>
      <c r="D9" s="85">
        <f t="shared" si="1"/>
        <v>3</v>
      </c>
      <c r="E9" s="85">
        <f t="shared" si="2"/>
        <v>12</v>
      </c>
      <c r="F9" s="85" t="str">
        <f t="shared" si="3"/>
        <v>pmx</v>
      </c>
      <c r="G9" s="85" t="s">
        <v>154</v>
      </c>
      <c r="H9" s="85" t="s">
        <v>142</v>
      </c>
      <c r="I9" s="85" t="s">
        <v>155</v>
      </c>
      <c r="K9" s="86">
        <f t="shared" si="4"/>
        <v>1623.5670820023893</v>
      </c>
      <c r="M9" s="86">
        <v>1600</v>
      </c>
      <c r="P9" s="85">
        <v>1623.5670820023893</v>
      </c>
    </row>
    <row r="10" spans="1:27" x14ac:dyDescent="0.3">
      <c r="A10" s="85">
        <v>1</v>
      </c>
      <c r="C10" s="85">
        <f t="shared" si="0"/>
        <v>4</v>
      </c>
      <c r="D10" s="85">
        <f t="shared" si="1"/>
        <v>4</v>
      </c>
      <c r="E10" s="85">
        <f t="shared" si="2"/>
        <v>12</v>
      </c>
      <c r="F10" s="85" t="str">
        <f t="shared" si="3"/>
        <v>pmx</v>
      </c>
      <c r="G10" s="85" t="s">
        <v>156</v>
      </c>
      <c r="H10" s="85" t="s">
        <v>142</v>
      </c>
      <c r="I10" s="85" t="s">
        <v>157</v>
      </c>
      <c r="K10" s="86">
        <f t="shared" si="4"/>
        <v>1566.0787998096826</v>
      </c>
      <c r="M10" s="86">
        <v>1600</v>
      </c>
      <c r="P10" s="85">
        <v>1566.0787998096826</v>
      </c>
    </row>
    <row r="11" spans="1:27" x14ac:dyDescent="0.3">
      <c r="A11" s="85">
        <v>2</v>
      </c>
      <c r="C11" s="85">
        <f t="shared" si="0"/>
        <v>5</v>
      </c>
      <c r="D11" s="85">
        <f t="shared" si="1"/>
        <v>5</v>
      </c>
      <c r="E11" s="85">
        <f t="shared" si="2"/>
        <v>12</v>
      </c>
      <c r="F11" s="85" t="str">
        <f t="shared" si="3"/>
        <v>pm</v>
      </c>
      <c r="G11" s="85" t="s">
        <v>164</v>
      </c>
      <c r="H11" s="85" t="s">
        <v>497</v>
      </c>
      <c r="I11" s="85" t="s">
        <v>498</v>
      </c>
      <c r="K11" s="86">
        <f t="shared" si="4"/>
        <v>1672.0912540760935</v>
      </c>
      <c r="M11" s="86">
        <v>1600</v>
      </c>
      <c r="P11" s="85">
        <v>1672.0912540760935</v>
      </c>
    </row>
    <row r="12" spans="1:27" x14ac:dyDescent="0.3">
      <c r="A12" s="85">
        <v>2</v>
      </c>
      <c r="C12" s="85">
        <f t="shared" si="0"/>
        <v>6</v>
      </c>
      <c r="D12" s="85">
        <f t="shared" si="1"/>
        <v>6</v>
      </c>
      <c r="E12" s="85">
        <f t="shared" si="2"/>
        <v>12</v>
      </c>
      <c r="F12" s="85" t="str">
        <f t="shared" si="3"/>
        <v>pm</v>
      </c>
      <c r="G12" s="85" t="s">
        <v>499</v>
      </c>
      <c r="H12" s="85" t="s">
        <v>500</v>
      </c>
      <c r="I12" s="85" t="s">
        <v>501</v>
      </c>
      <c r="K12" s="86">
        <f t="shared" si="4"/>
        <v>1600</v>
      </c>
      <c r="M12" s="86">
        <v>1600</v>
      </c>
    </row>
    <row r="13" spans="1:27" x14ac:dyDescent="0.3">
      <c r="A13" s="85">
        <v>1</v>
      </c>
      <c r="C13" s="85">
        <f t="shared" si="0"/>
        <v>7</v>
      </c>
      <c r="D13" s="85">
        <f t="shared" si="1"/>
        <v>6</v>
      </c>
      <c r="E13" s="85">
        <f t="shared" si="2"/>
        <v>12</v>
      </c>
      <c r="F13" s="85" t="str">
        <f t="shared" si="3"/>
        <v>pmx</v>
      </c>
      <c r="G13" s="85" t="s">
        <v>165</v>
      </c>
      <c r="H13" s="85" t="s">
        <v>502</v>
      </c>
      <c r="I13" s="85" t="s">
        <v>503</v>
      </c>
      <c r="K13" s="86">
        <f t="shared" si="4"/>
        <v>1600</v>
      </c>
      <c r="M13" s="86">
        <v>1600</v>
      </c>
    </row>
    <row r="14" spans="1:27" x14ac:dyDescent="0.3">
      <c r="A14" s="85">
        <v>5</v>
      </c>
      <c r="C14" s="85">
        <f t="shared" si="0"/>
        <v>8</v>
      </c>
      <c r="D14" s="85">
        <f t="shared" si="1"/>
        <v>8</v>
      </c>
      <c r="E14" s="85">
        <f t="shared" si="2"/>
        <v>12</v>
      </c>
      <c r="F14" s="85" t="str">
        <f t="shared" si="3"/>
        <v>pm</v>
      </c>
      <c r="G14" s="85" t="s">
        <v>504</v>
      </c>
      <c r="H14" s="85" t="s">
        <v>186</v>
      </c>
      <c r="I14" s="85" t="s">
        <v>505</v>
      </c>
      <c r="K14" s="86">
        <f t="shared" si="4"/>
        <v>1549.4001349386292</v>
      </c>
      <c r="M14" s="86">
        <v>1600</v>
      </c>
      <c r="O14" s="85">
        <v>1579.4211609843667</v>
      </c>
      <c r="Q14" s="85">
        <v>1549.4001349386292</v>
      </c>
    </row>
    <row r="15" spans="1:27" x14ac:dyDescent="0.3">
      <c r="A15" s="85">
        <v>2</v>
      </c>
      <c r="C15" s="85">
        <f t="shared" si="0"/>
        <v>9</v>
      </c>
      <c r="D15" s="85">
        <f t="shared" si="1"/>
        <v>9</v>
      </c>
      <c r="E15" s="85">
        <f t="shared" si="2"/>
        <v>12</v>
      </c>
      <c r="F15" s="85" t="str">
        <f t="shared" si="3"/>
        <v>pm</v>
      </c>
      <c r="G15" s="85" t="s">
        <v>158</v>
      </c>
      <c r="H15" s="85" t="s">
        <v>159</v>
      </c>
      <c r="I15" s="85" t="s">
        <v>160</v>
      </c>
      <c r="K15" s="86">
        <f t="shared" si="4"/>
        <v>1701.529408586621</v>
      </c>
      <c r="M15" s="86">
        <v>1600</v>
      </c>
      <c r="O15" s="85">
        <v>1701.529408586621</v>
      </c>
    </row>
    <row r="16" spans="1:27" x14ac:dyDescent="0.3">
      <c r="A16" s="85">
        <v>5</v>
      </c>
      <c r="C16" s="85">
        <f t="shared" si="0"/>
        <v>10</v>
      </c>
      <c r="D16" s="85">
        <f t="shared" si="1"/>
        <v>10</v>
      </c>
      <c r="E16" s="85">
        <f t="shared" si="2"/>
        <v>12</v>
      </c>
      <c r="F16" s="85" t="str">
        <f t="shared" si="3"/>
        <v>pm</v>
      </c>
      <c r="G16" s="85" t="s">
        <v>161</v>
      </c>
      <c r="H16" s="85" t="s">
        <v>497</v>
      </c>
      <c r="I16" s="85" t="s">
        <v>506</v>
      </c>
      <c r="K16" s="86">
        <f t="shared" si="4"/>
        <v>1683.3638657498252</v>
      </c>
      <c r="M16" s="86">
        <v>1520</v>
      </c>
      <c r="P16" s="85">
        <v>1620.0506756248978</v>
      </c>
      <c r="Q16" s="85">
        <v>1633.2494164120533</v>
      </c>
      <c r="R16" s="85">
        <v>1683.3638657498252</v>
      </c>
    </row>
    <row r="17" spans="1:18" x14ac:dyDescent="0.3">
      <c r="A17" s="85">
        <v>5</v>
      </c>
      <c r="C17" s="85">
        <f t="shared" si="0"/>
        <v>11</v>
      </c>
      <c r="D17" s="85">
        <f t="shared" si="1"/>
        <v>11</v>
      </c>
      <c r="E17" s="85">
        <f t="shared" si="2"/>
        <v>12</v>
      </c>
      <c r="F17" s="85" t="str">
        <f t="shared" si="3"/>
        <v>pm</v>
      </c>
      <c r="G17" s="85" t="s">
        <v>507</v>
      </c>
      <c r="H17" s="85" t="s">
        <v>497</v>
      </c>
      <c r="I17" s="85" t="s">
        <v>508</v>
      </c>
      <c r="K17" s="86">
        <f t="shared" si="4"/>
        <v>1481.2291901450285</v>
      </c>
      <c r="M17" s="86">
        <v>1520</v>
      </c>
      <c r="P17" s="85">
        <v>1493.8800484266853</v>
      </c>
      <c r="Q17" s="85">
        <v>1481.3819060424257</v>
      </c>
      <c r="R17" s="85">
        <v>1481.2291901450285</v>
      </c>
    </row>
    <row r="18" spans="1:18" x14ac:dyDescent="0.3">
      <c r="A18" s="85">
        <v>3</v>
      </c>
      <c r="C18" s="85">
        <f t="shared" si="0"/>
        <v>12</v>
      </c>
      <c r="D18" s="85">
        <f t="shared" si="1"/>
        <v>12</v>
      </c>
      <c r="E18" s="85">
        <f t="shared" si="2"/>
        <v>12</v>
      </c>
      <c r="F18" s="85" t="str">
        <f t="shared" si="3"/>
        <v>pm</v>
      </c>
      <c r="G18" s="85" t="s">
        <v>509</v>
      </c>
      <c r="H18" s="85" t="s">
        <v>497</v>
      </c>
      <c r="I18" s="85" t="s">
        <v>447</v>
      </c>
      <c r="K18" s="86">
        <f t="shared" si="4"/>
        <v>1389.1906269778058</v>
      </c>
      <c r="M18" s="86">
        <v>1466.6666666666667</v>
      </c>
      <c r="P18" s="85">
        <v>1389.1906269778058</v>
      </c>
    </row>
    <row r="19" spans="1:18" x14ac:dyDescent="0.3">
      <c r="A19" s="85">
        <v>6</v>
      </c>
      <c r="C19" s="85">
        <f t="shared" si="0"/>
        <v>13</v>
      </c>
      <c r="D19" s="85">
        <f t="shared" si="1"/>
        <v>13</v>
      </c>
      <c r="E19" s="85">
        <f t="shared" si="2"/>
        <v>12</v>
      </c>
      <c r="F19" s="85" t="str">
        <f t="shared" si="3"/>
        <v>pm</v>
      </c>
      <c r="G19" s="85" t="s">
        <v>192</v>
      </c>
      <c r="H19" s="85" t="s">
        <v>186</v>
      </c>
      <c r="I19" s="85" t="s">
        <v>510</v>
      </c>
      <c r="K19" s="86">
        <f t="shared" si="4"/>
        <v>1252.9179429346361</v>
      </c>
      <c r="M19" s="86">
        <v>1433.3333333333333</v>
      </c>
      <c r="P19" s="85">
        <v>1329.272415012241</v>
      </c>
      <c r="R19" s="85">
        <v>1252.9179429346361</v>
      </c>
    </row>
    <row r="20" spans="1:18" x14ac:dyDescent="0.3">
      <c r="A20" s="85">
        <v>1</v>
      </c>
      <c r="C20" s="85">
        <f t="shared" si="0"/>
        <v>14</v>
      </c>
      <c r="D20" s="85">
        <f t="shared" si="1"/>
        <v>14</v>
      </c>
      <c r="E20" s="85">
        <f t="shared" si="2"/>
        <v>12</v>
      </c>
      <c r="F20" s="85" t="str">
        <f t="shared" si="3"/>
        <v>pmx</v>
      </c>
      <c r="G20" s="85" t="s">
        <v>511</v>
      </c>
      <c r="H20" s="85" t="s">
        <v>512</v>
      </c>
      <c r="I20" s="85" t="s">
        <v>513</v>
      </c>
      <c r="K20" s="86">
        <f t="shared" si="4"/>
        <v>1400</v>
      </c>
      <c r="M20" s="86">
        <v>1400</v>
      </c>
    </row>
    <row r="21" spans="1:18" x14ac:dyDescent="0.3">
      <c r="A21" s="85">
        <v>2</v>
      </c>
      <c r="C21" s="85">
        <f t="shared" si="0"/>
        <v>15</v>
      </c>
      <c r="D21" s="85">
        <f t="shared" si="1"/>
        <v>14</v>
      </c>
      <c r="E21" s="85">
        <f t="shared" si="2"/>
        <v>12</v>
      </c>
      <c r="F21" s="85" t="str">
        <f t="shared" si="3"/>
        <v>pm</v>
      </c>
      <c r="G21" s="85" t="s">
        <v>514</v>
      </c>
      <c r="H21" s="85" t="s">
        <v>515</v>
      </c>
      <c r="I21" s="85" t="s">
        <v>516</v>
      </c>
      <c r="K21" s="86">
        <f t="shared" si="4"/>
        <v>1400</v>
      </c>
      <c r="M21" s="86">
        <v>1400</v>
      </c>
    </row>
    <row r="22" spans="1:18" x14ac:dyDescent="0.3">
      <c r="A22" s="85">
        <v>3</v>
      </c>
      <c r="C22" s="85">
        <f t="shared" si="0"/>
        <v>16</v>
      </c>
      <c r="D22" s="85">
        <f t="shared" si="1"/>
        <v>16</v>
      </c>
      <c r="E22" s="85">
        <f t="shared" si="2"/>
        <v>12</v>
      </c>
      <c r="F22" s="85" t="str">
        <f t="shared" si="3"/>
        <v>pm</v>
      </c>
      <c r="G22" s="85" t="s">
        <v>169</v>
      </c>
      <c r="H22" s="85" t="s">
        <v>144</v>
      </c>
      <c r="I22" s="85" t="s">
        <v>170</v>
      </c>
      <c r="K22" s="86">
        <f t="shared" si="4"/>
        <v>1531.3017091550601</v>
      </c>
      <c r="M22" s="86">
        <v>1400</v>
      </c>
      <c r="N22" s="85">
        <v>1476.3698763802292</v>
      </c>
      <c r="P22" s="85">
        <v>1531.3017091550601</v>
      </c>
    </row>
    <row r="23" spans="1:18" x14ac:dyDescent="0.3">
      <c r="A23" s="85">
        <v>3</v>
      </c>
      <c r="C23" s="85">
        <f t="shared" si="0"/>
        <v>17</v>
      </c>
      <c r="D23" s="85">
        <f t="shared" si="1"/>
        <v>17</v>
      </c>
      <c r="E23" s="85">
        <f t="shared" si="2"/>
        <v>12</v>
      </c>
      <c r="F23" s="85" t="str">
        <f t="shared" si="3"/>
        <v>pm</v>
      </c>
      <c r="G23" s="85" t="s">
        <v>171</v>
      </c>
      <c r="H23" s="85" t="s">
        <v>144</v>
      </c>
      <c r="I23" s="85" t="s">
        <v>517</v>
      </c>
      <c r="K23" s="86">
        <f t="shared" si="4"/>
        <v>1537.3802077651519</v>
      </c>
      <c r="M23" s="86">
        <v>1400</v>
      </c>
      <c r="N23" s="85">
        <v>1447.5815954545844</v>
      </c>
      <c r="P23" s="85">
        <v>1537.3802077651519</v>
      </c>
    </row>
    <row r="24" spans="1:18" x14ac:dyDescent="0.3">
      <c r="A24" s="85">
        <v>3</v>
      </c>
      <c r="C24" s="85">
        <f t="shared" si="0"/>
        <v>18</v>
      </c>
      <c r="D24" s="85">
        <f t="shared" si="1"/>
        <v>18</v>
      </c>
      <c r="E24" s="85">
        <f t="shared" si="2"/>
        <v>12</v>
      </c>
      <c r="F24" s="85" t="str">
        <f t="shared" si="3"/>
        <v>pm</v>
      </c>
      <c r="G24" s="85" t="s">
        <v>173</v>
      </c>
      <c r="H24" s="85" t="s">
        <v>144</v>
      </c>
      <c r="I24" s="85" t="s">
        <v>172</v>
      </c>
      <c r="K24" s="86">
        <f t="shared" si="4"/>
        <v>1357.2341324310933</v>
      </c>
      <c r="M24" s="86">
        <v>1400</v>
      </c>
      <c r="P24" s="85">
        <v>1357.2341324310933</v>
      </c>
    </row>
    <row r="25" spans="1:18" x14ac:dyDescent="0.3">
      <c r="A25" s="85">
        <v>2</v>
      </c>
      <c r="C25" s="85">
        <f t="shared" si="0"/>
        <v>19</v>
      </c>
      <c r="D25" s="85">
        <f t="shared" si="1"/>
        <v>19</v>
      </c>
      <c r="E25" s="85">
        <f t="shared" si="2"/>
        <v>12</v>
      </c>
      <c r="F25" s="85" t="str">
        <f t="shared" si="3"/>
        <v>pm</v>
      </c>
      <c r="G25" s="85" t="s">
        <v>518</v>
      </c>
      <c r="H25" s="85" t="s">
        <v>519</v>
      </c>
      <c r="I25" s="85" t="s">
        <v>520</v>
      </c>
      <c r="K25" s="86">
        <f t="shared" si="4"/>
        <v>1459.5641847293109</v>
      </c>
      <c r="M25" s="86">
        <v>1400</v>
      </c>
      <c r="N25" s="85">
        <v>1350.0578538073637</v>
      </c>
      <c r="R25" s="85">
        <v>1459.5641847293109</v>
      </c>
    </row>
    <row r="26" spans="1:18" x14ac:dyDescent="0.3">
      <c r="A26" s="85">
        <v>4</v>
      </c>
      <c r="C26" s="85">
        <f t="shared" si="0"/>
        <v>20</v>
      </c>
      <c r="D26" s="85">
        <f t="shared" si="1"/>
        <v>20</v>
      </c>
      <c r="E26" s="85">
        <f t="shared" si="2"/>
        <v>12</v>
      </c>
      <c r="F26" s="85" t="str">
        <f t="shared" si="3"/>
        <v>pm</v>
      </c>
      <c r="G26" s="85" t="s">
        <v>521</v>
      </c>
      <c r="H26" s="85" t="s">
        <v>522</v>
      </c>
      <c r="I26" s="85" t="s">
        <v>134</v>
      </c>
      <c r="K26" s="86">
        <f t="shared" si="4"/>
        <v>1375.3096493025091</v>
      </c>
      <c r="M26" s="86">
        <v>1400</v>
      </c>
      <c r="P26" s="85">
        <v>1428.1010048509108</v>
      </c>
      <c r="R26" s="85">
        <v>1375.3096493025091</v>
      </c>
    </row>
    <row r="27" spans="1:18" x14ac:dyDescent="0.3">
      <c r="A27" s="85">
        <v>5</v>
      </c>
      <c r="C27" s="85">
        <f t="shared" si="0"/>
        <v>21</v>
      </c>
      <c r="D27" s="85">
        <f t="shared" si="1"/>
        <v>21</v>
      </c>
      <c r="E27" s="85">
        <f t="shared" si="2"/>
        <v>12</v>
      </c>
      <c r="F27" s="85" t="str">
        <f t="shared" si="3"/>
        <v>pm</v>
      </c>
      <c r="G27" s="85" t="s">
        <v>174</v>
      </c>
      <c r="H27" s="85" t="s">
        <v>175</v>
      </c>
      <c r="I27" s="85" t="s">
        <v>523</v>
      </c>
      <c r="K27" s="86">
        <f t="shared" si="4"/>
        <v>1472.1508938896179</v>
      </c>
      <c r="M27" s="86">
        <v>1400</v>
      </c>
      <c r="N27" s="85">
        <v>1462.0140696522083</v>
      </c>
      <c r="P27" s="85">
        <v>1472.1508938896179</v>
      </c>
    </row>
    <row r="28" spans="1:18" x14ac:dyDescent="0.3">
      <c r="A28" s="85">
        <v>4</v>
      </c>
      <c r="C28" s="85">
        <f t="shared" si="0"/>
        <v>22</v>
      </c>
      <c r="D28" s="85">
        <f t="shared" si="1"/>
        <v>22</v>
      </c>
      <c r="E28" s="85">
        <f t="shared" si="2"/>
        <v>12</v>
      </c>
      <c r="F28" s="85" t="str">
        <f t="shared" si="3"/>
        <v>pm</v>
      </c>
      <c r="G28" s="85" t="s">
        <v>524</v>
      </c>
      <c r="H28" s="85" t="s">
        <v>175</v>
      </c>
      <c r="I28" s="85" t="s">
        <v>525</v>
      </c>
      <c r="K28" s="86">
        <f t="shared" si="4"/>
        <v>1387.5441557026004</v>
      </c>
      <c r="M28" s="86">
        <v>1400</v>
      </c>
      <c r="P28" s="85">
        <v>1387.5441557026004</v>
      </c>
    </row>
    <row r="29" spans="1:18" x14ac:dyDescent="0.3">
      <c r="A29" s="85">
        <v>6</v>
      </c>
      <c r="C29" s="85">
        <f t="shared" si="0"/>
        <v>23</v>
      </c>
      <c r="D29" s="85">
        <f t="shared" si="1"/>
        <v>23</v>
      </c>
      <c r="E29" s="85">
        <f t="shared" si="2"/>
        <v>12</v>
      </c>
      <c r="F29" s="85" t="str">
        <f t="shared" si="3"/>
        <v>pm</v>
      </c>
      <c r="G29" s="85" t="s">
        <v>176</v>
      </c>
      <c r="H29" s="85" t="s">
        <v>177</v>
      </c>
      <c r="I29" s="85" t="s">
        <v>178</v>
      </c>
      <c r="K29" s="86">
        <f t="shared" si="4"/>
        <v>1359.0770551054006</v>
      </c>
      <c r="M29" s="86">
        <v>1400</v>
      </c>
      <c r="P29" s="85">
        <v>1397.3483492662522</v>
      </c>
      <c r="R29" s="85">
        <v>1359.0770551054006</v>
      </c>
    </row>
    <row r="30" spans="1:18" x14ac:dyDescent="0.3">
      <c r="A30" s="85">
        <v>6</v>
      </c>
      <c r="C30" s="85">
        <f t="shared" si="0"/>
        <v>24</v>
      </c>
      <c r="D30" s="85">
        <f t="shared" si="1"/>
        <v>24</v>
      </c>
      <c r="E30" s="85">
        <f t="shared" si="2"/>
        <v>12</v>
      </c>
      <c r="F30" s="85" t="str">
        <f t="shared" si="3"/>
        <v>pm</v>
      </c>
      <c r="G30" s="85" t="s">
        <v>179</v>
      </c>
      <c r="H30" s="85" t="s">
        <v>526</v>
      </c>
      <c r="I30" s="85" t="s">
        <v>180</v>
      </c>
      <c r="K30" s="86">
        <f t="shared" si="4"/>
        <v>1404.990457888367</v>
      </c>
      <c r="M30" s="86">
        <v>1400</v>
      </c>
      <c r="P30" s="85">
        <v>1387.8230506446589</v>
      </c>
      <c r="R30" s="85">
        <v>1404.990457888367</v>
      </c>
    </row>
    <row r="31" spans="1:18" x14ac:dyDescent="0.3">
      <c r="A31" s="85">
        <v>5</v>
      </c>
      <c r="C31" s="85">
        <f t="shared" si="0"/>
        <v>25</v>
      </c>
      <c r="D31" s="85">
        <f t="shared" si="1"/>
        <v>25</v>
      </c>
      <c r="E31" s="85">
        <f t="shared" si="2"/>
        <v>12</v>
      </c>
      <c r="F31" s="85" t="str">
        <f t="shared" si="3"/>
        <v>pm</v>
      </c>
      <c r="G31" s="85" t="s">
        <v>181</v>
      </c>
      <c r="H31" s="85" t="s">
        <v>182</v>
      </c>
      <c r="I31" s="85" t="s">
        <v>527</v>
      </c>
      <c r="K31" s="86">
        <f t="shared" si="4"/>
        <v>1483.6607809901664</v>
      </c>
      <c r="M31" s="86">
        <v>1400</v>
      </c>
      <c r="N31" s="85">
        <v>1392.0553046168466</v>
      </c>
      <c r="P31" s="85">
        <v>1483.6607809901664</v>
      </c>
    </row>
    <row r="32" spans="1:18" x14ac:dyDescent="0.3">
      <c r="A32" s="85">
        <v>1</v>
      </c>
      <c r="C32" s="85">
        <f t="shared" si="0"/>
        <v>26</v>
      </c>
      <c r="D32" s="85">
        <f t="shared" si="1"/>
        <v>26</v>
      </c>
      <c r="E32" s="85">
        <f t="shared" si="2"/>
        <v>12</v>
      </c>
      <c r="F32" s="85" t="str">
        <f t="shared" si="3"/>
        <v>pmx</v>
      </c>
      <c r="G32" s="85" t="s">
        <v>528</v>
      </c>
      <c r="H32" s="85" t="s">
        <v>184</v>
      </c>
      <c r="I32" s="85" t="s">
        <v>529</v>
      </c>
      <c r="K32" s="86">
        <f t="shared" si="4"/>
        <v>1419.6445762924195</v>
      </c>
      <c r="M32" s="86">
        <v>1400</v>
      </c>
      <c r="N32" s="85">
        <v>1419.6445762924195</v>
      </c>
    </row>
    <row r="33" spans="1:18" x14ac:dyDescent="0.3">
      <c r="A33" s="85">
        <v>4</v>
      </c>
      <c r="C33" s="85">
        <f t="shared" si="0"/>
        <v>27</v>
      </c>
      <c r="D33" s="85">
        <f t="shared" si="1"/>
        <v>27</v>
      </c>
      <c r="E33" s="85">
        <f t="shared" si="2"/>
        <v>12</v>
      </c>
      <c r="F33" s="85" t="str">
        <f t="shared" si="3"/>
        <v>pm</v>
      </c>
      <c r="G33" s="85" t="s">
        <v>149</v>
      </c>
      <c r="H33" s="85" t="s">
        <v>150</v>
      </c>
      <c r="I33" s="85" t="s">
        <v>151</v>
      </c>
      <c r="K33" s="86">
        <f t="shared" si="4"/>
        <v>1331.2672489449701</v>
      </c>
      <c r="M33" s="86">
        <v>1400</v>
      </c>
      <c r="R33" s="85">
        <v>1331.2672489449701</v>
      </c>
    </row>
    <row r="34" spans="1:18" x14ac:dyDescent="0.3">
      <c r="A34" s="85">
        <v>4</v>
      </c>
      <c r="C34" s="85">
        <f t="shared" si="0"/>
        <v>28</v>
      </c>
      <c r="D34" s="85">
        <f t="shared" si="1"/>
        <v>28</v>
      </c>
      <c r="E34" s="85">
        <f t="shared" si="2"/>
        <v>12</v>
      </c>
      <c r="F34" s="85" t="str">
        <f t="shared" si="3"/>
        <v>pm</v>
      </c>
      <c r="G34" s="85" t="s">
        <v>187</v>
      </c>
      <c r="H34" s="85" t="s">
        <v>150</v>
      </c>
      <c r="I34" s="85" t="s">
        <v>188</v>
      </c>
      <c r="K34" s="86">
        <f t="shared" si="4"/>
        <v>1304.7360573036954</v>
      </c>
      <c r="M34" s="86">
        <v>1400</v>
      </c>
      <c r="R34" s="85">
        <v>1304.7360573036954</v>
      </c>
    </row>
    <row r="35" spans="1:18" x14ac:dyDescent="0.3">
      <c r="A35" s="85">
        <v>7</v>
      </c>
      <c r="C35" s="85">
        <f t="shared" si="0"/>
        <v>29</v>
      </c>
      <c r="D35" s="85">
        <f t="shared" si="1"/>
        <v>29</v>
      </c>
      <c r="E35" s="85">
        <f t="shared" si="2"/>
        <v>12</v>
      </c>
      <c r="F35" s="85" t="str">
        <f t="shared" si="3"/>
        <v>pm</v>
      </c>
      <c r="G35" s="85" t="s">
        <v>152</v>
      </c>
      <c r="H35" s="85" t="s">
        <v>153</v>
      </c>
      <c r="I35" s="85" t="s">
        <v>530</v>
      </c>
      <c r="K35" s="86">
        <f t="shared" si="4"/>
        <v>1458.1809861607323</v>
      </c>
      <c r="M35" s="86">
        <v>1400</v>
      </c>
      <c r="N35" s="85">
        <v>1334.5199657762885</v>
      </c>
      <c r="P35" s="85">
        <v>1385.9530682556606</v>
      </c>
      <c r="R35" s="85">
        <v>1458.1809861607323</v>
      </c>
    </row>
    <row r="36" spans="1:18" x14ac:dyDescent="0.3">
      <c r="A36" s="85">
        <v>1</v>
      </c>
      <c r="C36" s="85">
        <f t="shared" si="0"/>
        <v>30</v>
      </c>
      <c r="D36" s="85">
        <f t="shared" si="1"/>
        <v>30</v>
      </c>
      <c r="E36" s="85">
        <f t="shared" si="2"/>
        <v>12</v>
      </c>
      <c r="F36" s="85" t="str">
        <f t="shared" si="3"/>
        <v>pmx</v>
      </c>
      <c r="G36" s="85" t="s">
        <v>531</v>
      </c>
      <c r="H36" s="85" t="s">
        <v>206</v>
      </c>
      <c r="I36" s="85" t="s">
        <v>532</v>
      </c>
      <c r="K36" s="86">
        <f t="shared" si="4"/>
        <v>1400</v>
      </c>
      <c r="M36" s="86">
        <v>1400</v>
      </c>
    </row>
    <row r="37" spans="1:18" x14ac:dyDescent="0.3">
      <c r="A37" s="85">
        <v>3</v>
      </c>
      <c r="C37" s="85">
        <f t="shared" si="0"/>
        <v>31</v>
      </c>
      <c r="D37" s="85">
        <f t="shared" si="1"/>
        <v>31</v>
      </c>
      <c r="E37" s="85">
        <f t="shared" si="2"/>
        <v>12</v>
      </c>
      <c r="F37" s="85" t="str">
        <f t="shared" si="3"/>
        <v>pm</v>
      </c>
      <c r="G37" s="85" t="s">
        <v>533</v>
      </c>
      <c r="H37" s="85" t="s">
        <v>534</v>
      </c>
      <c r="I37" s="85" t="s">
        <v>535</v>
      </c>
      <c r="K37" s="86">
        <f t="shared" si="4"/>
        <v>1445.866311589471</v>
      </c>
      <c r="M37" s="86">
        <v>1400</v>
      </c>
      <c r="P37" s="85">
        <v>1445.866311589471</v>
      </c>
    </row>
    <row r="38" spans="1:18" x14ac:dyDescent="0.3">
      <c r="A38" s="85">
        <v>3</v>
      </c>
      <c r="C38" s="85">
        <f t="shared" si="0"/>
        <v>32</v>
      </c>
      <c r="D38" s="85">
        <f t="shared" si="1"/>
        <v>32</v>
      </c>
      <c r="E38" s="85">
        <f t="shared" si="2"/>
        <v>12</v>
      </c>
      <c r="F38" s="85" t="str">
        <f t="shared" si="3"/>
        <v>pm</v>
      </c>
      <c r="G38" s="85" t="s">
        <v>536</v>
      </c>
      <c r="H38" s="85" t="s">
        <v>534</v>
      </c>
      <c r="I38" s="85" t="s">
        <v>537</v>
      </c>
      <c r="K38" s="86">
        <f t="shared" si="4"/>
        <v>1296.9548720074079</v>
      </c>
      <c r="M38" s="86">
        <v>1400</v>
      </c>
      <c r="P38" s="85">
        <v>1296.9548720074079</v>
      </c>
    </row>
    <row r="39" spans="1:18" x14ac:dyDescent="0.3">
      <c r="A39" s="85">
        <v>6</v>
      </c>
      <c r="C39" s="85">
        <f t="shared" si="0"/>
        <v>33</v>
      </c>
      <c r="D39" s="85">
        <f t="shared" si="1"/>
        <v>33</v>
      </c>
      <c r="E39" s="85">
        <f t="shared" si="2"/>
        <v>12</v>
      </c>
      <c r="F39" s="85" t="str">
        <f t="shared" si="3"/>
        <v>pm</v>
      </c>
      <c r="G39" s="85" t="s">
        <v>166</v>
      </c>
      <c r="H39" s="85" t="s">
        <v>167</v>
      </c>
      <c r="I39" s="85" t="s">
        <v>168</v>
      </c>
      <c r="K39" s="86">
        <f t="shared" si="4"/>
        <v>1412.9817039109021</v>
      </c>
      <c r="M39" s="86">
        <v>1400</v>
      </c>
      <c r="P39" s="85">
        <v>1368.8186614357858</v>
      </c>
      <c r="R39" s="85">
        <v>1412.9817039109021</v>
      </c>
    </row>
    <row r="40" spans="1:18" x14ac:dyDescent="0.3">
      <c r="A40" s="85">
        <v>3</v>
      </c>
      <c r="C40" s="85">
        <f t="shared" si="0"/>
        <v>34</v>
      </c>
      <c r="D40" s="85">
        <f t="shared" si="1"/>
        <v>34</v>
      </c>
      <c r="E40" s="85">
        <f t="shared" si="2"/>
        <v>12</v>
      </c>
      <c r="F40" s="85" t="str">
        <f t="shared" si="3"/>
        <v>pm</v>
      </c>
      <c r="G40" s="85" t="s">
        <v>41</v>
      </c>
      <c r="H40" s="85" t="s">
        <v>167</v>
      </c>
      <c r="I40" s="85" t="s">
        <v>538</v>
      </c>
      <c r="K40" s="86">
        <f t="shared" si="4"/>
        <v>1424.3253801381572</v>
      </c>
      <c r="M40" s="86">
        <v>1400</v>
      </c>
      <c r="P40" s="85">
        <v>1424.3253801381572</v>
      </c>
    </row>
    <row r="41" spans="1:18" x14ac:dyDescent="0.3">
      <c r="A41" s="85">
        <v>4</v>
      </c>
      <c r="C41" s="85">
        <f t="shared" si="0"/>
        <v>35</v>
      </c>
      <c r="D41" s="85">
        <f t="shared" si="1"/>
        <v>35</v>
      </c>
      <c r="E41" s="85">
        <f t="shared" si="2"/>
        <v>12</v>
      </c>
      <c r="F41" s="85" t="str">
        <f t="shared" si="3"/>
        <v>pm</v>
      </c>
      <c r="G41" s="85" t="s">
        <v>539</v>
      </c>
      <c r="H41" s="85" t="s">
        <v>500</v>
      </c>
      <c r="I41" s="85" t="s">
        <v>540</v>
      </c>
      <c r="K41" s="86">
        <f t="shared" si="4"/>
        <v>1350.9184048274544</v>
      </c>
      <c r="M41" s="86">
        <v>1400</v>
      </c>
      <c r="P41" s="85">
        <v>1312.5310212754796</v>
      </c>
      <c r="R41" s="85">
        <v>1350.9184048274544</v>
      </c>
    </row>
    <row r="42" spans="1:18" x14ac:dyDescent="0.3">
      <c r="A42" s="85">
        <v>2</v>
      </c>
      <c r="C42" s="85">
        <f t="shared" si="0"/>
        <v>36</v>
      </c>
      <c r="D42" s="85">
        <f t="shared" si="1"/>
        <v>36</v>
      </c>
      <c r="E42" s="85">
        <f t="shared" si="2"/>
        <v>12</v>
      </c>
      <c r="F42" s="85" t="str">
        <f t="shared" si="3"/>
        <v>pm</v>
      </c>
      <c r="G42" s="85" t="s">
        <v>541</v>
      </c>
      <c r="H42" s="85" t="s">
        <v>159</v>
      </c>
      <c r="I42" s="85" t="s">
        <v>542</v>
      </c>
      <c r="K42" s="86">
        <f t="shared" si="4"/>
        <v>1400</v>
      </c>
      <c r="M42" s="86">
        <v>1400</v>
      </c>
    </row>
    <row r="43" spans="1:18" x14ac:dyDescent="0.3">
      <c r="A43" s="85">
        <v>1</v>
      </c>
      <c r="C43" s="85">
        <f t="shared" si="0"/>
        <v>37</v>
      </c>
      <c r="D43" s="85">
        <f t="shared" si="1"/>
        <v>37</v>
      </c>
      <c r="E43" s="85">
        <f t="shared" si="2"/>
        <v>12</v>
      </c>
      <c r="F43" s="85" t="str">
        <f t="shared" si="3"/>
        <v>crx</v>
      </c>
      <c r="G43" s="85" t="s">
        <v>543</v>
      </c>
      <c r="H43" s="85" t="s">
        <v>544</v>
      </c>
      <c r="I43" s="85" t="s">
        <v>545</v>
      </c>
      <c r="K43" s="86">
        <f t="shared" si="4"/>
        <v>1361.5371698741974</v>
      </c>
      <c r="M43" s="86">
        <v>1400</v>
      </c>
      <c r="P43" s="85">
        <v>1361.5371698741974</v>
      </c>
    </row>
    <row r="44" spans="1:18" x14ac:dyDescent="0.3">
      <c r="A44" s="85">
        <v>3</v>
      </c>
      <c r="C44" s="85">
        <f t="shared" si="0"/>
        <v>38</v>
      </c>
      <c r="D44" s="85">
        <f t="shared" si="1"/>
        <v>38</v>
      </c>
      <c r="E44" s="85">
        <f t="shared" si="2"/>
        <v>12</v>
      </c>
      <c r="F44" s="85" t="str">
        <f t="shared" si="3"/>
        <v>cr</v>
      </c>
      <c r="G44" s="85" t="s">
        <v>427</v>
      </c>
      <c r="H44" s="85" t="s">
        <v>495</v>
      </c>
      <c r="I44" s="85" t="s">
        <v>428</v>
      </c>
      <c r="K44" s="86">
        <f t="shared" si="4"/>
        <v>1359.5554742731761</v>
      </c>
      <c r="M44" s="86">
        <v>1400</v>
      </c>
      <c r="P44" s="85">
        <v>1359.5554742731761</v>
      </c>
    </row>
    <row r="45" spans="1:18" x14ac:dyDescent="0.3">
      <c r="A45" s="85">
        <v>1</v>
      </c>
      <c r="C45" s="85">
        <f t="shared" si="0"/>
        <v>39</v>
      </c>
      <c r="D45" s="85">
        <f t="shared" si="1"/>
        <v>39</v>
      </c>
      <c r="E45" s="85">
        <f t="shared" si="2"/>
        <v>12</v>
      </c>
      <c r="F45" s="85" t="str">
        <f t="shared" si="3"/>
        <v>crx</v>
      </c>
      <c r="G45" s="85" t="s">
        <v>443</v>
      </c>
      <c r="H45" s="85" t="s">
        <v>546</v>
      </c>
      <c r="I45" s="85" t="s">
        <v>547</v>
      </c>
      <c r="K45" s="86">
        <f t="shared" si="4"/>
        <v>1478.5154866564021</v>
      </c>
      <c r="M45" s="86">
        <v>1400</v>
      </c>
      <c r="P45" s="85">
        <v>1478.5154866564021</v>
      </c>
    </row>
    <row r="46" spans="1:18" x14ac:dyDescent="0.3">
      <c r="A46" s="85">
        <v>3</v>
      </c>
      <c r="C46" s="85">
        <f t="shared" si="0"/>
        <v>40</v>
      </c>
      <c r="D46" s="85">
        <f t="shared" si="1"/>
        <v>40</v>
      </c>
      <c r="E46" s="85">
        <f t="shared" si="2"/>
        <v>12</v>
      </c>
      <c r="F46" s="85" t="str">
        <f t="shared" si="3"/>
        <v>pm</v>
      </c>
      <c r="G46" s="85" t="s">
        <v>548</v>
      </c>
      <c r="H46" s="85" t="s">
        <v>549</v>
      </c>
      <c r="I46" s="85" t="s">
        <v>550</v>
      </c>
      <c r="K46" s="86">
        <f t="shared" si="4"/>
        <v>1184.4234246867265</v>
      </c>
      <c r="M46" s="86">
        <v>1266.6666666666667</v>
      </c>
      <c r="N46" s="85">
        <v>1184.4234246867265</v>
      </c>
    </row>
    <row r="47" spans="1:18" x14ac:dyDescent="0.3">
      <c r="A47" s="85">
        <v>2</v>
      </c>
      <c r="C47" s="85">
        <f t="shared" si="0"/>
        <v>41</v>
      </c>
      <c r="D47" s="85">
        <f t="shared" si="1"/>
        <v>41</v>
      </c>
      <c r="E47" s="85">
        <f t="shared" si="2"/>
        <v>12</v>
      </c>
      <c r="F47" s="85" t="str">
        <f t="shared" si="3"/>
        <v>pm</v>
      </c>
      <c r="G47" s="85" t="s">
        <v>25</v>
      </c>
      <c r="H47" s="85" t="s">
        <v>144</v>
      </c>
      <c r="I47" s="85" t="s">
        <v>551</v>
      </c>
      <c r="K47" s="86">
        <f t="shared" si="4"/>
        <v>1200</v>
      </c>
      <c r="M47" s="86">
        <v>1200</v>
      </c>
    </row>
    <row r="48" spans="1:18" x14ac:dyDescent="0.3">
      <c r="A48" s="85">
        <v>2</v>
      </c>
      <c r="C48" s="85">
        <f t="shared" si="0"/>
        <v>42</v>
      </c>
      <c r="D48" s="85">
        <f t="shared" si="1"/>
        <v>41</v>
      </c>
      <c r="E48" s="85">
        <f t="shared" si="2"/>
        <v>12</v>
      </c>
      <c r="F48" s="85" t="str">
        <f t="shared" si="3"/>
        <v>pm</v>
      </c>
      <c r="G48" s="85" t="s">
        <v>23</v>
      </c>
      <c r="H48" s="85" t="s">
        <v>144</v>
      </c>
      <c r="I48" s="85" t="s">
        <v>552</v>
      </c>
      <c r="K48" s="86">
        <f t="shared" si="4"/>
        <v>1200</v>
      </c>
      <c r="M48" s="86">
        <v>1200</v>
      </c>
    </row>
    <row r="49" spans="1:17" x14ac:dyDescent="0.3">
      <c r="A49" s="85">
        <v>2</v>
      </c>
      <c r="C49" s="85">
        <f t="shared" si="0"/>
        <v>43</v>
      </c>
      <c r="D49" s="85">
        <f t="shared" si="1"/>
        <v>41</v>
      </c>
      <c r="E49" s="85">
        <f t="shared" si="2"/>
        <v>12</v>
      </c>
      <c r="F49" s="85" t="str">
        <f t="shared" si="3"/>
        <v>pm</v>
      </c>
      <c r="G49" s="85" t="s">
        <v>195</v>
      </c>
      <c r="H49" s="85" t="s">
        <v>144</v>
      </c>
      <c r="I49" s="85" t="s">
        <v>553</v>
      </c>
      <c r="K49" s="86">
        <f t="shared" si="4"/>
        <v>1200</v>
      </c>
      <c r="M49" s="86">
        <v>1200</v>
      </c>
    </row>
    <row r="50" spans="1:17" x14ac:dyDescent="0.3">
      <c r="A50" s="85">
        <v>3</v>
      </c>
      <c r="C50" s="85">
        <f t="shared" si="0"/>
        <v>44</v>
      </c>
      <c r="D50" s="85">
        <f t="shared" si="1"/>
        <v>41</v>
      </c>
      <c r="E50" s="85">
        <f t="shared" si="2"/>
        <v>12</v>
      </c>
      <c r="F50" s="85" t="str">
        <f t="shared" si="3"/>
        <v>pm</v>
      </c>
      <c r="G50" s="85" t="s">
        <v>554</v>
      </c>
      <c r="H50" s="85" t="s">
        <v>175</v>
      </c>
      <c r="I50" s="85" t="s">
        <v>455</v>
      </c>
      <c r="K50" s="86">
        <f t="shared" si="4"/>
        <v>1200</v>
      </c>
      <c r="M50" s="86">
        <v>1200</v>
      </c>
    </row>
    <row r="51" spans="1:17" x14ac:dyDescent="0.3">
      <c r="A51" s="85">
        <v>4</v>
      </c>
      <c r="C51" s="85">
        <f t="shared" si="0"/>
        <v>45</v>
      </c>
      <c r="D51" s="85">
        <f t="shared" si="1"/>
        <v>41</v>
      </c>
      <c r="E51" s="85">
        <f t="shared" si="2"/>
        <v>12</v>
      </c>
      <c r="F51" s="85" t="str">
        <f t="shared" si="3"/>
        <v>pm</v>
      </c>
      <c r="G51" s="85" t="s">
        <v>555</v>
      </c>
      <c r="H51" s="85" t="s">
        <v>526</v>
      </c>
      <c r="I51" s="85" t="s">
        <v>556</v>
      </c>
      <c r="K51" s="86">
        <f t="shared" si="4"/>
        <v>1200</v>
      </c>
      <c r="M51" s="86">
        <v>1200</v>
      </c>
    </row>
    <row r="52" spans="1:17" x14ac:dyDescent="0.3">
      <c r="A52" s="85">
        <v>4</v>
      </c>
      <c r="C52" s="85">
        <f t="shared" si="0"/>
        <v>46</v>
      </c>
      <c r="D52" s="85">
        <f t="shared" si="1"/>
        <v>41</v>
      </c>
      <c r="E52" s="85">
        <f t="shared" si="2"/>
        <v>12</v>
      </c>
      <c r="F52" s="85" t="str">
        <f t="shared" si="3"/>
        <v>pm</v>
      </c>
      <c r="G52" s="85" t="s">
        <v>557</v>
      </c>
      <c r="H52" s="85" t="s">
        <v>145</v>
      </c>
      <c r="I52" s="85" t="s">
        <v>450</v>
      </c>
      <c r="K52" s="86">
        <f t="shared" si="4"/>
        <v>1200</v>
      </c>
      <c r="M52" s="86">
        <v>1200</v>
      </c>
    </row>
    <row r="53" spans="1:17" x14ac:dyDescent="0.3">
      <c r="A53" s="85">
        <v>3</v>
      </c>
      <c r="C53" s="85">
        <f t="shared" si="0"/>
        <v>47</v>
      </c>
      <c r="D53" s="85">
        <f t="shared" si="1"/>
        <v>47</v>
      </c>
      <c r="E53" s="85">
        <f t="shared" si="2"/>
        <v>12</v>
      </c>
      <c r="F53" s="85" t="str">
        <f t="shared" si="3"/>
        <v>pm</v>
      </c>
      <c r="G53" s="85" t="s">
        <v>197</v>
      </c>
      <c r="H53" s="85" t="s">
        <v>182</v>
      </c>
      <c r="I53" s="85" t="s">
        <v>198</v>
      </c>
      <c r="K53" s="86">
        <f t="shared" si="4"/>
        <v>1157.2304177245248</v>
      </c>
      <c r="M53" s="86">
        <v>1200</v>
      </c>
      <c r="P53" s="85">
        <v>1157.2304177245248</v>
      </c>
    </row>
    <row r="54" spans="1:17" x14ac:dyDescent="0.3">
      <c r="A54" s="85">
        <v>2</v>
      </c>
      <c r="C54" s="85">
        <f t="shared" si="0"/>
        <v>48</v>
      </c>
      <c r="D54" s="85">
        <f t="shared" si="1"/>
        <v>48</v>
      </c>
      <c r="E54" s="85">
        <f t="shared" si="2"/>
        <v>12</v>
      </c>
      <c r="F54" s="85" t="str">
        <f t="shared" si="3"/>
        <v>pm</v>
      </c>
      <c r="G54" s="85" t="s">
        <v>558</v>
      </c>
      <c r="H54" s="85" t="s">
        <v>182</v>
      </c>
      <c r="I54" s="85" t="s">
        <v>465</v>
      </c>
      <c r="K54" s="86">
        <f t="shared" si="4"/>
        <v>1200</v>
      </c>
      <c r="M54" s="86">
        <v>1200</v>
      </c>
    </row>
    <row r="55" spans="1:17" x14ac:dyDescent="0.3">
      <c r="A55" s="85">
        <v>2</v>
      </c>
      <c r="C55" s="85">
        <f t="shared" si="0"/>
        <v>49</v>
      </c>
      <c r="D55" s="85">
        <f t="shared" si="1"/>
        <v>48</v>
      </c>
      <c r="E55" s="85">
        <f t="shared" si="2"/>
        <v>12</v>
      </c>
      <c r="F55" s="85" t="str">
        <f t="shared" si="3"/>
        <v>pm</v>
      </c>
      <c r="G55" s="85" t="s">
        <v>199</v>
      </c>
      <c r="H55" s="85" t="s">
        <v>150</v>
      </c>
      <c r="I55" s="85" t="s">
        <v>200</v>
      </c>
      <c r="K55" s="86">
        <f t="shared" si="4"/>
        <v>1200</v>
      </c>
      <c r="M55" s="86">
        <v>1200</v>
      </c>
    </row>
    <row r="56" spans="1:17" x14ac:dyDescent="0.3">
      <c r="A56" s="85">
        <v>2</v>
      </c>
      <c r="C56" s="85">
        <f t="shared" si="0"/>
        <v>50</v>
      </c>
      <c r="D56" s="85">
        <f t="shared" si="1"/>
        <v>50</v>
      </c>
      <c r="E56" s="85">
        <f t="shared" si="2"/>
        <v>12</v>
      </c>
      <c r="F56" s="85" t="str">
        <f t="shared" si="3"/>
        <v>pm</v>
      </c>
      <c r="G56" s="85" t="s">
        <v>201</v>
      </c>
      <c r="H56" s="85" t="s">
        <v>150</v>
      </c>
      <c r="I56" s="85" t="s">
        <v>202</v>
      </c>
      <c r="K56" s="86">
        <f t="shared" si="4"/>
        <v>1176.7513934507317</v>
      </c>
      <c r="M56" s="86">
        <v>1200</v>
      </c>
      <c r="P56" s="85">
        <v>1176.7513934507317</v>
      </c>
    </row>
    <row r="57" spans="1:17" x14ac:dyDescent="0.3">
      <c r="A57" s="85">
        <v>2</v>
      </c>
      <c r="C57" s="85">
        <f t="shared" si="0"/>
        <v>51</v>
      </c>
      <c r="D57" s="85">
        <f t="shared" si="1"/>
        <v>51</v>
      </c>
      <c r="E57" s="85">
        <f t="shared" si="2"/>
        <v>12</v>
      </c>
      <c r="F57" s="85" t="str">
        <f t="shared" si="3"/>
        <v>pm</v>
      </c>
      <c r="G57" s="85" t="s">
        <v>559</v>
      </c>
      <c r="H57" s="85" t="s">
        <v>150</v>
      </c>
      <c r="I57" s="85" t="s">
        <v>463</v>
      </c>
      <c r="K57" s="86">
        <f t="shared" si="4"/>
        <v>1200</v>
      </c>
      <c r="M57" s="86">
        <v>1200</v>
      </c>
    </row>
    <row r="58" spans="1:17" x14ac:dyDescent="0.3">
      <c r="A58" s="85">
        <v>1</v>
      </c>
      <c r="C58" s="85">
        <f t="shared" si="0"/>
        <v>52</v>
      </c>
      <c r="D58" s="85">
        <f t="shared" si="1"/>
        <v>51</v>
      </c>
      <c r="E58" s="85">
        <f t="shared" si="2"/>
        <v>12</v>
      </c>
      <c r="F58" s="85" t="str">
        <f t="shared" si="3"/>
        <v>pmx</v>
      </c>
      <c r="G58" s="85" t="s">
        <v>203</v>
      </c>
      <c r="H58" s="85" t="s">
        <v>204</v>
      </c>
      <c r="I58" s="85" t="s">
        <v>205</v>
      </c>
      <c r="K58" s="86">
        <f t="shared" si="4"/>
        <v>1200</v>
      </c>
      <c r="M58" s="86">
        <v>1200</v>
      </c>
    </row>
    <row r="59" spans="1:17" x14ac:dyDescent="0.3">
      <c r="A59" s="85">
        <v>3</v>
      </c>
      <c r="C59" s="85">
        <f t="shared" si="0"/>
        <v>53</v>
      </c>
      <c r="D59" s="85">
        <f t="shared" si="1"/>
        <v>51</v>
      </c>
      <c r="E59" s="85">
        <f t="shared" si="2"/>
        <v>12</v>
      </c>
      <c r="F59" s="85" t="str">
        <f t="shared" si="3"/>
        <v>pm</v>
      </c>
      <c r="G59" s="85" t="s">
        <v>560</v>
      </c>
      <c r="H59" s="85" t="s">
        <v>235</v>
      </c>
      <c r="I59" s="85" t="s">
        <v>561</v>
      </c>
      <c r="K59" s="86">
        <f t="shared" si="4"/>
        <v>1200</v>
      </c>
      <c r="M59" s="86">
        <v>1200</v>
      </c>
    </row>
    <row r="60" spans="1:17" x14ac:dyDescent="0.3">
      <c r="A60" s="85">
        <v>4</v>
      </c>
      <c r="C60" s="85">
        <f t="shared" si="0"/>
        <v>54</v>
      </c>
      <c r="D60" s="85">
        <f t="shared" si="1"/>
        <v>54</v>
      </c>
      <c r="E60" s="85">
        <f t="shared" si="2"/>
        <v>12</v>
      </c>
      <c r="F60" s="85" t="str">
        <f t="shared" si="3"/>
        <v>pm</v>
      </c>
      <c r="G60" s="85" t="s">
        <v>189</v>
      </c>
      <c r="H60" s="85" t="s">
        <v>167</v>
      </c>
      <c r="I60" s="85" t="s">
        <v>40</v>
      </c>
      <c r="K60" s="86">
        <f t="shared" si="4"/>
        <v>1189.1105508037228</v>
      </c>
      <c r="M60" s="86">
        <v>1200</v>
      </c>
      <c r="P60" s="85">
        <v>1189.1105508037228</v>
      </c>
    </row>
    <row r="61" spans="1:17" x14ac:dyDescent="0.3">
      <c r="A61" s="85">
        <v>4</v>
      </c>
      <c r="C61" s="85">
        <f t="shared" si="0"/>
        <v>55</v>
      </c>
      <c r="D61" s="85">
        <f t="shared" si="1"/>
        <v>55</v>
      </c>
      <c r="E61" s="85">
        <f t="shared" si="2"/>
        <v>12</v>
      </c>
      <c r="F61" s="85" t="str">
        <f t="shared" si="3"/>
        <v>pm</v>
      </c>
      <c r="G61" s="85" t="s">
        <v>193</v>
      </c>
      <c r="H61" s="85" t="s">
        <v>167</v>
      </c>
      <c r="I61" s="85" t="s">
        <v>207</v>
      </c>
      <c r="K61" s="86">
        <f t="shared" si="4"/>
        <v>1298.5668972647138</v>
      </c>
      <c r="M61" s="86">
        <v>1200</v>
      </c>
      <c r="P61" s="85">
        <v>1298.5668972647138</v>
      </c>
    </row>
    <row r="62" spans="1:17" x14ac:dyDescent="0.3">
      <c r="A62" s="85">
        <v>3</v>
      </c>
      <c r="C62" s="85">
        <f t="shared" si="0"/>
        <v>56</v>
      </c>
      <c r="D62" s="85">
        <f t="shared" si="1"/>
        <v>56</v>
      </c>
      <c r="E62" s="85">
        <f t="shared" si="2"/>
        <v>12</v>
      </c>
      <c r="F62" s="85" t="str">
        <f t="shared" si="3"/>
        <v>pm</v>
      </c>
      <c r="G62" s="85" t="s">
        <v>190</v>
      </c>
      <c r="H62" s="85" t="s">
        <v>562</v>
      </c>
      <c r="I62" s="85" t="s">
        <v>191</v>
      </c>
      <c r="K62" s="86">
        <f t="shared" si="4"/>
        <v>1200</v>
      </c>
      <c r="M62" s="86">
        <v>1200</v>
      </c>
    </row>
    <row r="63" spans="1:17" x14ac:dyDescent="0.3">
      <c r="A63" s="85">
        <v>2</v>
      </c>
      <c r="C63" s="85">
        <f t="shared" si="0"/>
        <v>57</v>
      </c>
      <c r="D63" s="85">
        <f t="shared" si="1"/>
        <v>56</v>
      </c>
      <c r="E63" s="85">
        <f t="shared" si="2"/>
        <v>12</v>
      </c>
      <c r="F63" s="85" t="str">
        <f t="shared" si="3"/>
        <v>cr</v>
      </c>
      <c r="G63" s="85" t="s">
        <v>30</v>
      </c>
      <c r="H63" s="85" t="s">
        <v>490</v>
      </c>
      <c r="I63" s="85" t="s">
        <v>29</v>
      </c>
      <c r="K63" s="86">
        <f t="shared" si="4"/>
        <v>1200</v>
      </c>
      <c r="M63" s="86">
        <v>1200</v>
      </c>
    </row>
    <row r="64" spans="1:17" x14ac:dyDescent="0.3">
      <c r="A64" s="85">
        <v>6</v>
      </c>
      <c r="C64" s="85">
        <f t="shared" si="0"/>
        <v>1</v>
      </c>
      <c r="D64" s="85">
        <f t="shared" si="1"/>
        <v>1</v>
      </c>
      <c r="E64" s="85">
        <f t="shared" si="2"/>
        <v>13</v>
      </c>
      <c r="F64" s="85" t="str">
        <f t="shared" si="3"/>
        <v>pm</v>
      </c>
      <c r="G64" s="85" t="s">
        <v>211</v>
      </c>
      <c r="H64" s="85" t="s">
        <v>177</v>
      </c>
      <c r="I64" s="85" t="s">
        <v>212</v>
      </c>
      <c r="K64" s="86">
        <f t="shared" si="4"/>
        <v>2028.7259384377141</v>
      </c>
      <c r="M64" s="86">
        <v>2000</v>
      </c>
      <c r="O64" s="85">
        <v>2060.3419653407827</v>
      </c>
      <c r="P64" s="85">
        <v>1987.6646605891308</v>
      </c>
      <c r="Q64" s="85">
        <v>2028.7259384377141</v>
      </c>
    </row>
    <row r="65" spans="1:17" x14ac:dyDescent="0.3">
      <c r="A65" s="85">
        <v>4</v>
      </c>
      <c r="C65" s="85">
        <f t="shared" si="0"/>
        <v>2</v>
      </c>
      <c r="D65" s="85">
        <f t="shared" si="1"/>
        <v>2</v>
      </c>
      <c r="E65" s="85">
        <f t="shared" si="2"/>
        <v>13</v>
      </c>
      <c r="F65" s="85" t="str">
        <f t="shared" si="3"/>
        <v>pm</v>
      </c>
      <c r="G65" s="85" t="s">
        <v>213</v>
      </c>
      <c r="H65" s="85" t="s">
        <v>186</v>
      </c>
      <c r="I65" s="85" t="s">
        <v>563</v>
      </c>
      <c r="K65" s="86">
        <f t="shared" si="4"/>
        <v>1889.35082931787</v>
      </c>
      <c r="M65" s="86">
        <v>2000</v>
      </c>
      <c r="O65" s="85">
        <v>1889.35082931787</v>
      </c>
    </row>
    <row r="66" spans="1:17" x14ac:dyDescent="0.3">
      <c r="A66" s="85">
        <v>5</v>
      </c>
      <c r="C66" s="85">
        <f t="shared" ref="C66:C129" si="5">IF(E66=E65,C65+1,1)</f>
        <v>3</v>
      </c>
      <c r="D66" s="85">
        <f t="shared" ref="D66:D129" si="6">IF(K66=K65,D65,C66)</f>
        <v>3</v>
      </c>
      <c r="E66" s="85">
        <f t="shared" ref="E66:E129" si="7">10+VALUE(RIGHT(LEFT(G66,3),1))</f>
        <v>13</v>
      </c>
      <c r="F66" s="85" t="str">
        <f t="shared" ref="F66:F129" si="8">RIGHT(G66,2) &amp; IF(A66&lt;2,"x","")</f>
        <v>pm</v>
      </c>
      <c r="G66" s="85" t="s">
        <v>232</v>
      </c>
      <c r="H66" s="85" t="s">
        <v>186</v>
      </c>
      <c r="I66" s="85" t="s">
        <v>564</v>
      </c>
      <c r="K66" s="86">
        <f t="shared" ref="K66:K129" si="9">LOOKUP(1E+100,M66:AB66)</f>
        <v>1910.8241468183951</v>
      </c>
      <c r="M66" s="86">
        <v>2000</v>
      </c>
      <c r="O66" s="85">
        <v>1978.843978202189</v>
      </c>
      <c r="Q66" s="85">
        <v>1910.8241468183951</v>
      </c>
    </row>
    <row r="67" spans="1:17" x14ac:dyDescent="0.3">
      <c r="A67" s="85">
        <v>5</v>
      </c>
      <c r="C67" s="85">
        <f t="shared" si="5"/>
        <v>4</v>
      </c>
      <c r="D67" s="85">
        <f t="shared" si="6"/>
        <v>4</v>
      </c>
      <c r="E67" s="85">
        <f t="shared" si="7"/>
        <v>13</v>
      </c>
      <c r="F67" s="85" t="str">
        <f t="shared" si="8"/>
        <v>pm</v>
      </c>
      <c r="G67" s="85" t="s">
        <v>233</v>
      </c>
      <c r="H67" s="85" t="s">
        <v>186</v>
      </c>
      <c r="I67" s="85" t="s">
        <v>565</v>
      </c>
      <c r="K67" s="86">
        <f t="shared" si="9"/>
        <v>1946.4939424044867</v>
      </c>
      <c r="M67" s="86">
        <v>2000</v>
      </c>
      <c r="O67" s="85">
        <v>1966.1739071777461</v>
      </c>
      <c r="Q67" s="85">
        <v>1946.4939424044867</v>
      </c>
    </row>
    <row r="68" spans="1:17" x14ac:dyDescent="0.3">
      <c r="A68" s="85">
        <v>7</v>
      </c>
      <c r="C68" s="85">
        <f t="shared" si="5"/>
        <v>5</v>
      </c>
      <c r="D68" s="85">
        <f t="shared" si="6"/>
        <v>5</v>
      </c>
      <c r="E68" s="85">
        <f t="shared" si="7"/>
        <v>13</v>
      </c>
      <c r="F68" s="85" t="str">
        <f t="shared" si="8"/>
        <v>pm</v>
      </c>
      <c r="G68" s="85" t="s">
        <v>566</v>
      </c>
      <c r="H68" s="85" t="s">
        <v>153</v>
      </c>
      <c r="I68" s="85" t="s">
        <v>567</v>
      </c>
      <c r="K68" s="86">
        <f t="shared" si="9"/>
        <v>2158.9052927151342</v>
      </c>
      <c r="M68" s="86">
        <v>2000</v>
      </c>
      <c r="O68" s="85">
        <v>2082.9615061596824</v>
      </c>
      <c r="P68" s="85">
        <v>2166.6401899886919</v>
      </c>
      <c r="Q68" s="85">
        <v>2158.9052927151342</v>
      </c>
    </row>
    <row r="69" spans="1:17" x14ac:dyDescent="0.3">
      <c r="A69" s="85">
        <v>3</v>
      </c>
      <c r="C69" s="85">
        <f t="shared" si="5"/>
        <v>6</v>
      </c>
      <c r="D69" s="85">
        <f t="shared" si="6"/>
        <v>6</v>
      </c>
      <c r="E69" s="85">
        <f t="shared" si="7"/>
        <v>13</v>
      </c>
      <c r="F69" s="85" t="str">
        <f t="shared" si="8"/>
        <v>pm</v>
      </c>
      <c r="G69" s="85" t="s">
        <v>568</v>
      </c>
      <c r="H69" s="85" t="s">
        <v>258</v>
      </c>
      <c r="I69" s="85" t="s">
        <v>569</v>
      </c>
      <c r="K69" s="86">
        <f t="shared" si="9"/>
        <v>2000</v>
      </c>
      <c r="M69" s="86">
        <v>2000</v>
      </c>
    </row>
    <row r="70" spans="1:17" x14ac:dyDescent="0.3">
      <c r="A70" s="85">
        <v>1</v>
      </c>
      <c r="C70" s="85">
        <f t="shared" si="5"/>
        <v>7</v>
      </c>
      <c r="D70" s="85">
        <f t="shared" si="6"/>
        <v>7</v>
      </c>
      <c r="E70" s="85">
        <f t="shared" si="7"/>
        <v>13</v>
      </c>
      <c r="F70" s="85" t="str">
        <f t="shared" si="8"/>
        <v>pmx</v>
      </c>
      <c r="G70" s="85" t="s">
        <v>214</v>
      </c>
      <c r="H70" s="85" t="s">
        <v>163</v>
      </c>
      <c r="I70" s="85" t="s">
        <v>215</v>
      </c>
      <c r="K70" s="86">
        <f t="shared" si="9"/>
        <v>2115.655259967572</v>
      </c>
      <c r="M70" s="86">
        <v>2000</v>
      </c>
      <c r="Q70" s="85">
        <v>2115.655259967572</v>
      </c>
    </row>
    <row r="71" spans="1:17" x14ac:dyDescent="0.3">
      <c r="A71" s="85">
        <v>1</v>
      </c>
      <c r="C71" s="85">
        <f t="shared" si="5"/>
        <v>8</v>
      </c>
      <c r="D71" s="85">
        <f t="shared" si="6"/>
        <v>8</v>
      </c>
      <c r="E71" s="85">
        <f t="shared" si="7"/>
        <v>13</v>
      </c>
      <c r="F71" s="85" t="str">
        <f t="shared" si="8"/>
        <v>pmx</v>
      </c>
      <c r="G71" s="85" t="s">
        <v>216</v>
      </c>
      <c r="H71" s="85" t="s">
        <v>142</v>
      </c>
      <c r="I71" s="85" t="s">
        <v>217</v>
      </c>
      <c r="K71" s="86">
        <f t="shared" si="9"/>
        <v>2133.242093718723</v>
      </c>
      <c r="M71" s="86">
        <v>2000</v>
      </c>
      <c r="P71" s="85">
        <v>2133.242093718723</v>
      </c>
    </row>
    <row r="72" spans="1:17" x14ac:dyDescent="0.3">
      <c r="A72" s="85">
        <v>1</v>
      </c>
      <c r="C72" s="85">
        <f t="shared" si="5"/>
        <v>9</v>
      </c>
      <c r="D72" s="85">
        <f t="shared" si="6"/>
        <v>9</v>
      </c>
      <c r="E72" s="85">
        <f t="shared" si="7"/>
        <v>13</v>
      </c>
      <c r="F72" s="85" t="str">
        <f t="shared" si="8"/>
        <v>pmx</v>
      </c>
      <c r="G72" s="85" t="s">
        <v>218</v>
      </c>
      <c r="H72" s="85" t="s">
        <v>142</v>
      </c>
      <c r="I72" s="85" t="s">
        <v>219</v>
      </c>
      <c r="K72" s="86">
        <f t="shared" si="9"/>
        <v>1978.1601622751334</v>
      </c>
      <c r="M72" s="86">
        <v>2000</v>
      </c>
      <c r="P72" s="85">
        <v>1978.1601622751334</v>
      </c>
    </row>
    <row r="73" spans="1:17" x14ac:dyDescent="0.3">
      <c r="A73" s="85">
        <v>5</v>
      </c>
      <c r="C73" s="85">
        <f t="shared" si="5"/>
        <v>10</v>
      </c>
      <c r="D73" s="85">
        <f t="shared" si="6"/>
        <v>10</v>
      </c>
      <c r="E73" s="85">
        <f t="shared" si="7"/>
        <v>13</v>
      </c>
      <c r="F73" s="85" t="str">
        <f t="shared" si="8"/>
        <v>pm</v>
      </c>
      <c r="G73" s="85" t="s">
        <v>220</v>
      </c>
      <c r="H73" s="85" t="s">
        <v>497</v>
      </c>
      <c r="I73" s="85" t="s">
        <v>570</v>
      </c>
      <c r="K73" s="86">
        <f t="shared" si="9"/>
        <v>2093.9067840052389</v>
      </c>
      <c r="M73" s="86">
        <v>2000</v>
      </c>
      <c r="P73" s="85">
        <v>2063.7160280611906</v>
      </c>
      <c r="Q73" s="85">
        <v>2093.9067840052389</v>
      </c>
    </row>
    <row r="74" spans="1:17" x14ac:dyDescent="0.3">
      <c r="A74" s="85">
        <v>5</v>
      </c>
      <c r="C74" s="85">
        <f t="shared" si="5"/>
        <v>11</v>
      </c>
      <c r="D74" s="85">
        <f t="shared" si="6"/>
        <v>11</v>
      </c>
      <c r="E74" s="85">
        <f t="shared" si="7"/>
        <v>13</v>
      </c>
      <c r="F74" s="85" t="str">
        <f t="shared" si="8"/>
        <v>pm</v>
      </c>
      <c r="G74" s="85" t="s">
        <v>222</v>
      </c>
      <c r="H74" s="85" t="s">
        <v>497</v>
      </c>
      <c r="I74" s="85" t="s">
        <v>571</v>
      </c>
      <c r="K74" s="86">
        <f t="shared" si="9"/>
        <v>1918.4238666916301</v>
      </c>
      <c r="M74" s="86">
        <v>2000</v>
      </c>
      <c r="P74" s="85">
        <v>1978.7125428643328</v>
      </c>
      <c r="Q74" s="85">
        <v>1918.4238666916301</v>
      </c>
    </row>
    <row r="75" spans="1:17" x14ac:dyDescent="0.3">
      <c r="A75" s="85">
        <v>6</v>
      </c>
      <c r="C75" s="85">
        <f t="shared" si="5"/>
        <v>12</v>
      </c>
      <c r="D75" s="85">
        <f t="shared" si="6"/>
        <v>12</v>
      </c>
      <c r="E75" s="85">
        <f t="shared" si="7"/>
        <v>13</v>
      </c>
      <c r="F75" s="85" t="str">
        <f t="shared" si="8"/>
        <v>pm</v>
      </c>
      <c r="G75" s="85" t="s">
        <v>237</v>
      </c>
      <c r="H75" s="85" t="s">
        <v>167</v>
      </c>
      <c r="I75" s="85" t="s">
        <v>572</v>
      </c>
      <c r="K75" s="86">
        <f t="shared" si="9"/>
        <v>1910.2539094930257</v>
      </c>
      <c r="M75" s="86">
        <v>2000</v>
      </c>
      <c r="O75" s="85">
        <v>1941.3772442307425</v>
      </c>
      <c r="Q75" s="85">
        <v>1910.2539094930257</v>
      </c>
    </row>
    <row r="76" spans="1:17" x14ac:dyDescent="0.3">
      <c r="A76" s="85">
        <v>2</v>
      </c>
      <c r="C76" s="85">
        <f t="shared" si="5"/>
        <v>13</v>
      </c>
      <c r="D76" s="85">
        <f t="shared" si="6"/>
        <v>13</v>
      </c>
      <c r="E76" s="85">
        <f t="shared" si="7"/>
        <v>13</v>
      </c>
      <c r="F76" s="85" t="str">
        <f t="shared" si="8"/>
        <v>pm</v>
      </c>
      <c r="G76" s="85" t="s">
        <v>224</v>
      </c>
      <c r="H76" s="85" t="s">
        <v>159</v>
      </c>
      <c r="I76" s="85" t="s">
        <v>573</v>
      </c>
      <c r="K76" s="86">
        <f t="shared" si="9"/>
        <v>1965.4144908495527</v>
      </c>
      <c r="M76" s="86">
        <v>2000</v>
      </c>
      <c r="Q76" s="85">
        <v>1965.4144908495527</v>
      </c>
    </row>
    <row r="77" spans="1:17" x14ac:dyDescent="0.3">
      <c r="A77" s="85">
        <v>2</v>
      </c>
      <c r="C77" s="85">
        <f t="shared" si="5"/>
        <v>14</v>
      </c>
      <c r="D77" s="85">
        <f t="shared" si="6"/>
        <v>14</v>
      </c>
      <c r="E77" s="85">
        <f t="shared" si="7"/>
        <v>13</v>
      </c>
      <c r="F77" s="85" t="str">
        <f t="shared" si="8"/>
        <v>pm</v>
      </c>
      <c r="G77" s="85" t="s">
        <v>243</v>
      </c>
      <c r="H77" s="85" t="s">
        <v>502</v>
      </c>
      <c r="I77" s="85" t="s">
        <v>574</v>
      </c>
      <c r="K77" s="86">
        <f t="shared" si="9"/>
        <v>2000</v>
      </c>
      <c r="M77" s="86">
        <v>2000</v>
      </c>
    </row>
    <row r="78" spans="1:17" x14ac:dyDescent="0.3">
      <c r="A78" s="85">
        <v>1</v>
      </c>
      <c r="C78" s="85">
        <f t="shared" si="5"/>
        <v>15</v>
      </c>
      <c r="D78" s="85">
        <f t="shared" si="6"/>
        <v>14</v>
      </c>
      <c r="E78" s="85">
        <f t="shared" si="7"/>
        <v>13</v>
      </c>
      <c r="F78" s="85" t="str">
        <f t="shared" si="8"/>
        <v>crx</v>
      </c>
      <c r="G78" s="85" t="s">
        <v>575</v>
      </c>
      <c r="H78" s="85" t="s">
        <v>576</v>
      </c>
      <c r="I78" s="85" t="s">
        <v>577</v>
      </c>
      <c r="K78" s="86">
        <f t="shared" si="9"/>
        <v>2000</v>
      </c>
      <c r="M78" s="86">
        <v>2000</v>
      </c>
    </row>
    <row r="79" spans="1:17" x14ac:dyDescent="0.3">
      <c r="A79" s="85">
        <v>1</v>
      </c>
      <c r="C79" s="85">
        <f t="shared" si="5"/>
        <v>16</v>
      </c>
      <c r="D79" s="85">
        <f t="shared" si="6"/>
        <v>14</v>
      </c>
      <c r="E79" s="85">
        <f t="shared" si="7"/>
        <v>13</v>
      </c>
      <c r="F79" s="85" t="str">
        <f t="shared" si="8"/>
        <v>crx</v>
      </c>
      <c r="G79" s="85" t="s">
        <v>578</v>
      </c>
      <c r="H79" s="85" t="s">
        <v>579</v>
      </c>
      <c r="I79" s="85" t="s">
        <v>580</v>
      </c>
      <c r="K79" s="86">
        <f t="shared" si="9"/>
        <v>2000</v>
      </c>
      <c r="M79" s="86">
        <v>2000</v>
      </c>
    </row>
    <row r="80" spans="1:17" x14ac:dyDescent="0.3">
      <c r="A80" s="85">
        <v>1</v>
      </c>
      <c r="C80" s="85">
        <f t="shared" si="5"/>
        <v>17</v>
      </c>
      <c r="D80" s="85">
        <f t="shared" si="6"/>
        <v>14</v>
      </c>
      <c r="E80" s="85">
        <f t="shared" si="7"/>
        <v>13</v>
      </c>
      <c r="F80" s="85" t="str">
        <f t="shared" si="8"/>
        <v>sox</v>
      </c>
      <c r="G80" s="85" t="s">
        <v>581</v>
      </c>
      <c r="H80" s="85" t="s">
        <v>582</v>
      </c>
      <c r="I80" s="85" t="s">
        <v>583</v>
      </c>
      <c r="K80" s="86">
        <f t="shared" si="9"/>
        <v>2000</v>
      </c>
      <c r="M80" s="86">
        <v>2000</v>
      </c>
    </row>
    <row r="81" spans="1:18" x14ac:dyDescent="0.3">
      <c r="A81" s="85">
        <v>6</v>
      </c>
      <c r="C81" s="85">
        <f t="shared" si="5"/>
        <v>18</v>
      </c>
      <c r="D81" s="85">
        <f t="shared" si="6"/>
        <v>18</v>
      </c>
      <c r="E81" s="85">
        <f t="shared" si="7"/>
        <v>13</v>
      </c>
      <c r="F81" s="85" t="str">
        <f t="shared" si="8"/>
        <v>pm</v>
      </c>
      <c r="G81" s="85" t="s">
        <v>221</v>
      </c>
      <c r="H81" s="85" t="s">
        <v>167</v>
      </c>
      <c r="I81" s="85" t="s">
        <v>584</v>
      </c>
      <c r="K81" s="86">
        <f t="shared" si="9"/>
        <v>2025.0360399606554</v>
      </c>
      <c r="M81" s="86">
        <v>1966.6666666666667</v>
      </c>
      <c r="Q81" s="85">
        <v>2025.0360399606554</v>
      </c>
    </row>
    <row r="82" spans="1:18" x14ac:dyDescent="0.3">
      <c r="A82" s="85">
        <v>4</v>
      </c>
      <c r="C82" s="85">
        <f t="shared" si="5"/>
        <v>19</v>
      </c>
      <c r="D82" s="85">
        <f t="shared" si="6"/>
        <v>19</v>
      </c>
      <c r="E82" s="85">
        <f t="shared" si="7"/>
        <v>13</v>
      </c>
      <c r="F82" s="85" t="str">
        <f t="shared" si="8"/>
        <v>pm</v>
      </c>
      <c r="G82" s="85" t="s">
        <v>223</v>
      </c>
      <c r="H82" s="85" t="s">
        <v>163</v>
      </c>
      <c r="I82" s="85" t="s">
        <v>585</v>
      </c>
      <c r="K82" s="86">
        <f t="shared" si="9"/>
        <v>1905.475974080126</v>
      </c>
      <c r="M82" s="86">
        <v>1900</v>
      </c>
      <c r="Q82" s="85">
        <v>1905.475974080126</v>
      </c>
    </row>
    <row r="83" spans="1:18" x14ac:dyDescent="0.3">
      <c r="A83" s="85">
        <v>3</v>
      </c>
      <c r="C83" s="85">
        <f t="shared" si="5"/>
        <v>20</v>
      </c>
      <c r="D83" s="85">
        <f t="shared" si="6"/>
        <v>20</v>
      </c>
      <c r="E83" s="85">
        <f t="shared" si="7"/>
        <v>13</v>
      </c>
      <c r="F83" s="85" t="str">
        <f t="shared" si="8"/>
        <v>pm</v>
      </c>
      <c r="G83" s="85" t="s">
        <v>225</v>
      </c>
      <c r="H83" s="85" t="s">
        <v>497</v>
      </c>
      <c r="I83" s="85" t="s">
        <v>586</v>
      </c>
      <c r="K83" s="86">
        <f t="shared" si="9"/>
        <v>1831.4752155443539</v>
      </c>
      <c r="M83" s="86">
        <v>1866.6666666666667</v>
      </c>
      <c r="P83" s="85">
        <v>1879.0445986616371</v>
      </c>
      <c r="R83" s="85">
        <v>1831.4752155443539</v>
      </c>
    </row>
    <row r="84" spans="1:18" x14ac:dyDescent="0.3">
      <c r="A84" s="85">
        <v>3</v>
      </c>
      <c r="C84" s="85">
        <f t="shared" si="5"/>
        <v>21</v>
      </c>
      <c r="D84" s="85">
        <f t="shared" si="6"/>
        <v>21</v>
      </c>
      <c r="E84" s="85">
        <f t="shared" si="7"/>
        <v>13</v>
      </c>
      <c r="F84" s="85" t="str">
        <f t="shared" si="8"/>
        <v>so</v>
      </c>
      <c r="G84" s="85" t="s">
        <v>587</v>
      </c>
      <c r="H84" s="85" t="s">
        <v>588</v>
      </c>
      <c r="I84" s="85" t="s">
        <v>436</v>
      </c>
      <c r="K84" s="86">
        <f t="shared" si="9"/>
        <v>1732.406816864474</v>
      </c>
      <c r="M84" s="86">
        <v>1733.3333333333333</v>
      </c>
      <c r="P84" s="85">
        <v>1732.406816864474</v>
      </c>
    </row>
    <row r="85" spans="1:18" x14ac:dyDescent="0.3">
      <c r="A85" s="85">
        <v>4</v>
      </c>
      <c r="C85" s="85">
        <f t="shared" si="5"/>
        <v>22</v>
      </c>
      <c r="D85" s="85">
        <f t="shared" si="6"/>
        <v>22</v>
      </c>
      <c r="E85" s="85">
        <f t="shared" si="7"/>
        <v>13</v>
      </c>
      <c r="F85" s="85" t="str">
        <f t="shared" si="8"/>
        <v>pm</v>
      </c>
      <c r="G85" s="85" t="s">
        <v>589</v>
      </c>
      <c r="H85" s="85" t="s">
        <v>534</v>
      </c>
      <c r="I85" s="85" t="s">
        <v>590</v>
      </c>
      <c r="K85" s="86">
        <f t="shared" si="9"/>
        <v>1710.6470272643505</v>
      </c>
      <c r="M85" s="86">
        <v>1700</v>
      </c>
      <c r="P85" s="85">
        <v>1710.6470272643505</v>
      </c>
    </row>
    <row r="86" spans="1:18" x14ac:dyDescent="0.3">
      <c r="A86" s="85">
        <v>5</v>
      </c>
      <c r="C86" s="85">
        <f t="shared" si="5"/>
        <v>23</v>
      </c>
      <c r="D86" s="85">
        <f t="shared" si="6"/>
        <v>23</v>
      </c>
      <c r="E86" s="85">
        <f t="shared" si="7"/>
        <v>13</v>
      </c>
      <c r="F86" s="85" t="str">
        <f t="shared" si="8"/>
        <v>pm</v>
      </c>
      <c r="G86" s="85" t="s">
        <v>591</v>
      </c>
      <c r="H86" s="85" t="s">
        <v>526</v>
      </c>
      <c r="I86" s="85" t="s">
        <v>592</v>
      </c>
      <c r="K86" s="86">
        <f t="shared" si="9"/>
        <v>1844.1438298375165</v>
      </c>
      <c r="M86" s="86">
        <v>1680</v>
      </c>
      <c r="P86" s="85">
        <v>1781.2397204790218</v>
      </c>
      <c r="R86" s="85">
        <v>1844.1438298375165</v>
      </c>
    </row>
    <row r="87" spans="1:18" x14ac:dyDescent="0.3">
      <c r="A87" s="85">
        <v>1</v>
      </c>
      <c r="C87" s="85">
        <f t="shared" si="5"/>
        <v>24</v>
      </c>
      <c r="D87" s="85">
        <f t="shared" si="6"/>
        <v>24</v>
      </c>
      <c r="E87" s="85">
        <f t="shared" si="7"/>
        <v>13</v>
      </c>
      <c r="F87" s="85" t="str">
        <f t="shared" si="8"/>
        <v>pmx</v>
      </c>
      <c r="G87" s="85" t="s">
        <v>593</v>
      </c>
      <c r="H87" s="85" t="s">
        <v>512</v>
      </c>
      <c r="I87" s="85" t="s">
        <v>594</v>
      </c>
      <c r="K87" s="86">
        <f t="shared" si="9"/>
        <v>1600</v>
      </c>
      <c r="M87" s="86">
        <v>1600</v>
      </c>
    </row>
    <row r="88" spans="1:18" x14ac:dyDescent="0.3">
      <c r="A88" s="85">
        <v>3</v>
      </c>
      <c r="C88" s="85">
        <f t="shared" si="5"/>
        <v>25</v>
      </c>
      <c r="D88" s="85">
        <f t="shared" si="6"/>
        <v>25</v>
      </c>
      <c r="E88" s="85">
        <f t="shared" si="7"/>
        <v>13</v>
      </c>
      <c r="F88" s="85" t="str">
        <f t="shared" si="8"/>
        <v>pm</v>
      </c>
      <c r="G88" s="85" t="s">
        <v>208</v>
      </c>
      <c r="H88" s="85" t="s">
        <v>144</v>
      </c>
      <c r="I88" s="85" t="s">
        <v>227</v>
      </c>
      <c r="K88" s="86">
        <f t="shared" si="9"/>
        <v>1724.4275462175704</v>
      </c>
      <c r="M88" s="86">
        <v>1600</v>
      </c>
      <c r="N88" s="85">
        <v>1734.5689277635004</v>
      </c>
      <c r="P88" s="85">
        <v>1724.4275462175704</v>
      </c>
    </row>
    <row r="89" spans="1:18" x14ac:dyDescent="0.3">
      <c r="A89" s="85">
        <v>3</v>
      </c>
      <c r="C89" s="85">
        <f t="shared" si="5"/>
        <v>26</v>
      </c>
      <c r="D89" s="85">
        <f t="shared" si="6"/>
        <v>26</v>
      </c>
      <c r="E89" s="85">
        <f t="shared" si="7"/>
        <v>13</v>
      </c>
      <c r="F89" s="85" t="str">
        <f t="shared" si="8"/>
        <v>pm</v>
      </c>
      <c r="G89" s="85" t="s">
        <v>209</v>
      </c>
      <c r="H89" s="85" t="s">
        <v>144</v>
      </c>
      <c r="I89" s="85" t="s">
        <v>595</v>
      </c>
      <c r="K89" s="86">
        <f t="shared" si="9"/>
        <v>1675.5610946866284</v>
      </c>
      <c r="M89" s="86">
        <v>1600</v>
      </c>
      <c r="P89" s="85">
        <v>1675.5610946866284</v>
      </c>
    </row>
    <row r="90" spans="1:18" x14ac:dyDescent="0.3">
      <c r="A90" s="85">
        <v>3</v>
      </c>
      <c r="C90" s="85">
        <f t="shared" si="5"/>
        <v>27</v>
      </c>
      <c r="D90" s="85">
        <f t="shared" si="6"/>
        <v>27</v>
      </c>
      <c r="E90" s="85">
        <f t="shared" si="7"/>
        <v>13</v>
      </c>
      <c r="F90" s="85" t="str">
        <f t="shared" si="8"/>
        <v>pm</v>
      </c>
      <c r="G90" s="85" t="s">
        <v>226</v>
      </c>
      <c r="H90" s="85" t="s">
        <v>144</v>
      </c>
      <c r="I90" s="85" t="s">
        <v>596</v>
      </c>
      <c r="K90" s="86">
        <f t="shared" si="9"/>
        <v>1607.7647501108029</v>
      </c>
      <c r="M90" s="86">
        <v>1600</v>
      </c>
      <c r="P90" s="85">
        <v>1607.7647501108029</v>
      </c>
    </row>
    <row r="91" spans="1:18" x14ac:dyDescent="0.3">
      <c r="A91" s="85">
        <v>4</v>
      </c>
      <c r="C91" s="85">
        <f t="shared" si="5"/>
        <v>28</v>
      </c>
      <c r="D91" s="85">
        <f t="shared" si="6"/>
        <v>28</v>
      </c>
      <c r="E91" s="85">
        <f t="shared" si="7"/>
        <v>13</v>
      </c>
      <c r="F91" s="85" t="str">
        <f t="shared" si="8"/>
        <v>pm</v>
      </c>
      <c r="G91" s="85" t="s">
        <v>597</v>
      </c>
      <c r="H91" s="85" t="s">
        <v>519</v>
      </c>
      <c r="I91" s="85" t="s">
        <v>598</v>
      </c>
      <c r="K91" s="86">
        <f t="shared" si="9"/>
        <v>1604.0521466293651</v>
      </c>
      <c r="M91" s="86">
        <v>1600</v>
      </c>
      <c r="R91" s="85">
        <v>1604.0521466293651</v>
      </c>
    </row>
    <row r="92" spans="1:18" x14ac:dyDescent="0.3">
      <c r="A92" s="85">
        <v>5</v>
      </c>
      <c r="C92" s="85">
        <f t="shared" si="5"/>
        <v>29</v>
      </c>
      <c r="D92" s="85">
        <f t="shared" si="6"/>
        <v>29</v>
      </c>
      <c r="E92" s="85">
        <f t="shared" si="7"/>
        <v>13</v>
      </c>
      <c r="F92" s="85" t="str">
        <f t="shared" si="8"/>
        <v>pm</v>
      </c>
      <c r="G92" s="85" t="s">
        <v>599</v>
      </c>
      <c r="H92" s="85" t="s">
        <v>522</v>
      </c>
      <c r="I92" s="85" t="s">
        <v>600</v>
      </c>
      <c r="K92" s="86">
        <f t="shared" si="9"/>
        <v>1694.3212755101226</v>
      </c>
      <c r="M92" s="86">
        <v>1600</v>
      </c>
      <c r="P92" s="85">
        <v>1590.7715876195714</v>
      </c>
      <c r="R92" s="85">
        <v>1694.3212755101226</v>
      </c>
    </row>
    <row r="93" spans="1:18" x14ac:dyDescent="0.3">
      <c r="A93" s="85">
        <v>5</v>
      </c>
      <c r="C93" s="85">
        <f t="shared" si="5"/>
        <v>30</v>
      </c>
      <c r="D93" s="85">
        <f t="shared" si="6"/>
        <v>30</v>
      </c>
      <c r="E93" s="85">
        <f t="shared" si="7"/>
        <v>13</v>
      </c>
      <c r="F93" s="85" t="str">
        <f t="shared" si="8"/>
        <v>pm</v>
      </c>
      <c r="G93" s="85" t="s">
        <v>210</v>
      </c>
      <c r="H93" s="85" t="s">
        <v>175</v>
      </c>
      <c r="I93" s="85" t="s">
        <v>601</v>
      </c>
      <c r="K93" s="86">
        <f t="shared" si="9"/>
        <v>1714.4274743770873</v>
      </c>
      <c r="M93" s="86">
        <v>1600</v>
      </c>
      <c r="N93" s="85">
        <v>1703.6510057867774</v>
      </c>
      <c r="P93" s="85">
        <v>1714.4274743770873</v>
      </c>
    </row>
    <row r="94" spans="1:18" x14ac:dyDescent="0.3">
      <c r="A94" s="85">
        <v>4</v>
      </c>
      <c r="C94" s="85">
        <f t="shared" si="5"/>
        <v>31</v>
      </c>
      <c r="D94" s="85">
        <f t="shared" si="6"/>
        <v>31</v>
      </c>
      <c r="E94" s="85">
        <f t="shared" si="7"/>
        <v>13</v>
      </c>
      <c r="F94" s="85" t="str">
        <f t="shared" si="8"/>
        <v>pm</v>
      </c>
      <c r="G94" s="85" t="s">
        <v>228</v>
      </c>
      <c r="H94" s="85" t="s">
        <v>175</v>
      </c>
      <c r="I94" s="85" t="s">
        <v>602</v>
      </c>
      <c r="K94" s="86">
        <f t="shared" si="9"/>
        <v>1717.3090759057159</v>
      </c>
      <c r="M94" s="86">
        <v>1600</v>
      </c>
      <c r="P94" s="85">
        <v>1717.3090759057159</v>
      </c>
    </row>
    <row r="95" spans="1:18" x14ac:dyDescent="0.3">
      <c r="A95" s="85">
        <v>6</v>
      </c>
      <c r="C95" s="85">
        <f t="shared" si="5"/>
        <v>32</v>
      </c>
      <c r="D95" s="85">
        <f t="shared" si="6"/>
        <v>32</v>
      </c>
      <c r="E95" s="85">
        <f t="shared" si="7"/>
        <v>13</v>
      </c>
      <c r="F95" s="85" t="str">
        <f t="shared" si="8"/>
        <v>pm</v>
      </c>
      <c r="G95" s="85" t="s">
        <v>229</v>
      </c>
      <c r="H95" s="85" t="s">
        <v>177</v>
      </c>
      <c r="I95" s="85" t="s">
        <v>230</v>
      </c>
      <c r="K95" s="86">
        <f t="shared" si="9"/>
        <v>1610.5349292849767</v>
      </c>
      <c r="M95" s="86">
        <v>1600</v>
      </c>
      <c r="P95" s="85">
        <v>1616.737428819403</v>
      </c>
      <c r="R95" s="85">
        <v>1610.5349292849767</v>
      </c>
    </row>
    <row r="96" spans="1:18" x14ac:dyDescent="0.3">
      <c r="A96" s="85">
        <v>4</v>
      </c>
      <c r="C96" s="85">
        <f t="shared" si="5"/>
        <v>33</v>
      </c>
      <c r="D96" s="85">
        <f t="shared" si="6"/>
        <v>33</v>
      </c>
      <c r="E96" s="85">
        <f t="shared" si="7"/>
        <v>13</v>
      </c>
      <c r="F96" s="85" t="str">
        <f t="shared" si="8"/>
        <v>pm</v>
      </c>
      <c r="G96" s="85" t="s">
        <v>603</v>
      </c>
      <c r="H96" s="85" t="s">
        <v>177</v>
      </c>
      <c r="I96" s="85" t="s">
        <v>604</v>
      </c>
      <c r="K96" s="86">
        <f t="shared" si="9"/>
        <v>1555.8084352413171</v>
      </c>
      <c r="M96" s="86">
        <v>1600</v>
      </c>
      <c r="P96" s="85">
        <v>1547.9196897344852</v>
      </c>
      <c r="R96" s="85">
        <v>1555.8084352413171</v>
      </c>
    </row>
    <row r="97" spans="1:18" x14ac:dyDescent="0.3">
      <c r="A97" s="85">
        <v>4</v>
      </c>
      <c r="C97" s="85">
        <f t="shared" si="5"/>
        <v>34</v>
      </c>
      <c r="D97" s="85">
        <f t="shared" si="6"/>
        <v>34</v>
      </c>
      <c r="E97" s="85">
        <f t="shared" si="7"/>
        <v>13</v>
      </c>
      <c r="F97" s="85" t="str">
        <f t="shared" si="8"/>
        <v>pm</v>
      </c>
      <c r="G97" s="85" t="s">
        <v>605</v>
      </c>
      <c r="H97" s="85" t="s">
        <v>606</v>
      </c>
      <c r="I97" s="85" t="s">
        <v>607</v>
      </c>
      <c r="K97" s="86">
        <f t="shared" si="9"/>
        <v>1579.8660708915113</v>
      </c>
      <c r="M97" s="86">
        <v>1600</v>
      </c>
      <c r="P97" s="85">
        <v>1579.8660708915113</v>
      </c>
    </row>
    <row r="98" spans="1:18" x14ac:dyDescent="0.3">
      <c r="A98" s="85">
        <v>3</v>
      </c>
      <c r="C98" s="85">
        <f t="shared" si="5"/>
        <v>35</v>
      </c>
      <c r="D98" s="85">
        <f t="shared" si="6"/>
        <v>35</v>
      </c>
      <c r="E98" s="85">
        <f t="shared" si="7"/>
        <v>13</v>
      </c>
      <c r="F98" s="85" t="str">
        <f t="shared" si="8"/>
        <v>pm</v>
      </c>
      <c r="G98" s="85" t="s">
        <v>231</v>
      </c>
      <c r="H98" s="85" t="s">
        <v>182</v>
      </c>
      <c r="I98" s="85" t="s">
        <v>608</v>
      </c>
      <c r="K98" s="86">
        <f t="shared" si="9"/>
        <v>1701.1184058676397</v>
      </c>
      <c r="M98" s="86">
        <v>1600</v>
      </c>
      <c r="R98" s="85">
        <v>1701.1184058676397</v>
      </c>
    </row>
    <row r="99" spans="1:18" x14ac:dyDescent="0.3">
      <c r="A99" s="85">
        <v>7</v>
      </c>
      <c r="C99" s="85">
        <f t="shared" si="5"/>
        <v>36</v>
      </c>
      <c r="D99" s="85">
        <f t="shared" si="6"/>
        <v>36</v>
      </c>
      <c r="E99" s="85">
        <f t="shared" si="7"/>
        <v>13</v>
      </c>
      <c r="F99" s="85" t="str">
        <f t="shared" si="8"/>
        <v>pm</v>
      </c>
      <c r="G99" s="85" t="s">
        <v>609</v>
      </c>
      <c r="H99" s="85" t="s">
        <v>342</v>
      </c>
      <c r="I99" s="85" t="s">
        <v>610</v>
      </c>
      <c r="K99" s="86">
        <f t="shared" si="9"/>
        <v>1423.4626944365991</v>
      </c>
      <c r="M99" s="86">
        <v>1600</v>
      </c>
      <c r="N99" s="85">
        <v>1534.3498710699218</v>
      </c>
      <c r="P99" s="85">
        <v>1451.1605393968732</v>
      </c>
      <c r="R99" s="85">
        <v>1423.4626944365991</v>
      </c>
    </row>
    <row r="100" spans="1:18" x14ac:dyDescent="0.3">
      <c r="A100" s="85">
        <v>6</v>
      </c>
      <c r="C100" s="85">
        <f t="shared" si="5"/>
        <v>37</v>
      </c>
      <c r="D100" s="85">
        <f t="shared" si="6"/>
        <v>37</v>
      </c>
      <c r="E100" s="85">
        <f t="shared" si="7"/>
        <v>13</v>
      </c>
      <c r="F100" s="85" t="str">
        <f t="shared" si="8"/>
        <v>pm</v>
      </c>
      <c r="G100" s="85" t="s">
        <v>234</v>
      </c>
      <c r="H100" s="85" t="s">
        <v>186</v>
      </c>
      <c r="I100" s="85" t="s">
        <v>611</v>
      </c>
      <c r="K100" s="86">
        <f t="shared" si="9"/>
        <v>1545.4675568325963</v>
      </c>
      <c r="M100" s="86">
        <v>1600</v>
      </c>
      <c r="P100" s="85">
        <v>1533.7444995390174</v>
      </c>
      <c r="R100" s="85">
        <v>1545.4675568325963</v>
      </c>
    </row>
    <row r="101" spans="1:18" x14ac:dyDescent="0.3">
      <c r="A101" s="85">
        <v>6</v>
      </c>
      <c r="C101" s="85">
        <f t="shared" si="5"/>
        <v>38</v>
      </c>
      <c r="D101" s="85">
        <f t="shared" si="6"/>
        <v>38</v>
      </c>
      <c r="E101" s="85">
        <f t="shared" si="7"/>
        <v>13</v>
      </c>
      <c r="F101" s="85" t="str">
        <f t="shared" si="8"/>
        <v>pm</v>
      </c>
      <c r="G101" s="85" t="s">
        <v>612</v>
      </c>
      <c r="H101" s="85" t="s">
        <v>186</v>
      </c>
      <c r="I101" s="85" t="s">
        <v>613</v>
      </c>
      <c r="K101" s="86">
        <f t="shared" si="9"/>
        <v>1520.4251338639951</v>
      </c>
      <c r="M101" s="86">
        <v>1600</v>
      </c>
      <c r="P101" s="85">
        <v>1597.3879142967439</v>
      </c>
      <c r="R101" s="85">
        <v>1520.4251338639951</v>
      </c>
    </row>
    <row r="102" spans="1:18" x14ac:dyDescent="0.3">
      <c r="A102" s="85">
        <v>6</v>
      </c>
      <c r="C102" s="85">
        <f t="shared" si="5"/>
        <v>39</v>
      </c>
      <c r="D102" s="85">
        <f t="shared" si="6"/>
        <v>39</v>
      </c>
      <c r="E102" s="85">
        <f t="shared" si="7"/>
        <v>13</v>
      </c>
      <c r="F102" s="85" t="str">
        <f t="shared" si="8"/>
        <v>pm</v>
      </c>
      <c r="G102" s="85" t="s">
        <v>614</v>
      </c>
      <c r="H102" s="85" t="s">
        <v>186</v>
      </c>
      <c r="I102" s="85" t="s">
        <v>615</v>
      </c>
      <c r="K102" s="86">
        <f t="shared" si="9"/>
        <v>1602.9871441486005</v>
      </c>
      <c r="M102" s="86">
        <v>1600</v>
      </c>
      <c r="P102" s="85">
        <v>1648.4137496847168</v>
      </c>
      <c r="R102" s="85">
        <v>1602.9871441486005</v>
      </c>
    </row>
    <row r="103" spans="1:18" x14ac:dyDescent="0.3">
      <c r="A103" s="85">
        <v>6</v>
      </c>
      <c r="C103" s="85">
        <f t="shared" si="5"/>
        <v>40</v>
      </c>
      <c r="D103" s="85">
        <f t="shared" si="6"/>
        <v>40</v>
      </c>
      <c r="E103" s="85">
        <f t="shared" si="7"/>
        <v>13</v>
      </c>
      <c r="F103" s="85" t="str">
        <f t="shared" si="8"/>
        <v>pm</v>
      </c>
      <c r="G103" s="85" t="s">
        <v>616</v>
      </c>
      <c r="H103" s="85" t="s">
        <v>186</v>
      </c>
      <c r="I103" s="85" t="s">
        <v>617</v>
      </c>
      <c r="K103" s="86">
        <f t="shared" si="9"/>
        <v>1553.5745846398738</v>
      </c>
      <c r="M103" s="86">
        <v>1600</v>
      </c>
      <c r="P103" s="85">
        <v>1620.996700650938</v>
      </c>
      <c r="R103" s="85">
        <v>1553.5745846398738</v>
      </c>
    </row>
    <row r="104" spans="1:18" x14ac:dyDescent="0.3">
      <c r="A104" s="85">
        <v>3</v>
      </c>
      <c r="C104" s="85">
        <f t="shared" si="5"/>
        <v>41</v>
      </c>
      <c r="D104" s="85">
        <f t="shared" si="6"/>
        <v>41</v>
      </c>
      <c r="E104" s="85">
        <f t="shared" si="7"/>
        <v>13</v>
      </c>
      <c r="F104" s="85" t="str">
        <f t="shared" si="8"/>
        <v>pm</v>
      </c>
      <c r="G104" s="85" t="s">
        <v>618</v>
      </c>
      <c r="H104" s="85" t="s">
        <v>204</v>
      </c>
      <c r="I104" s="85" t="s">
        <v>619</v>
      </c>
      <c r="K104" s="86">
        <f t="shared" si="9"/>
        <v>1571.9721224993891</v>
      </c>
      <c r="M104" s="86">
        <v>1600</v>
      </c>
      <c r="R104" s="85">
        <v>1571.9721224993891</v>
      </c>
    </row>
    <row r="105" spans="1:18" x14ac:dyDescent="0.3">
      <c r="A105" s="85">
        <v>7</v>
      </c>
      <c r="C105" s="85">
        <f t="shared" si="5"/>
        <v>42</v>
      </c>
      <c r="D105" s="85">
        <f t="shared" si="6"/>
        <v>42</v>
      </c>
      <c r="E105" s="85">
        <f t="shared" si="7"/>
        <v>13</v>
      </c>
      <c r="F105" s="85" t="str">
        <f t="shared" si="8"/>
        <v>pm</v>
      </c>
      <c r="G105" s="85" t="s">
        <v>620</v>
      </c>
      <c r="H105" s="85" t="s">
        <v>153</v>
      </c>
      <c r="I105" s="85" t="s">
        <v>621</v>
      </c>
      <c r="K105" s="86">
        <f t="shared" si="9"/>
        <v>1683.7707191504878</v>
      </c>
      <c r="M105" s="86">
        <v>1600</v>
      </c>
      <c r="N105" s="85">
        <v>1633.4553905753462</v>
      </c>
      <c r="P105" s="85">
        <v>1598.9138359307153</v>
      </c>
      <c r="R105" s="85">
        <v>1683.7707191504878</v>
      </c>
    </row>
    <row r="106" spans="1:18" x14ac:dyDescent="0.3">
      <c r="A106" s="85">
        <v>3</v>
      </c>
      <c r="C106" s="85">
        <f t="shared" si="5"/>
        <v>43</v>
      </c>
      <c r="D106" s="85">
        <f t="shared" si="6"/>
        <v>43</v>
      </c>
      <c r="E106" s="85">
        <f t="shared" si="7"/>
        <v>13</v>
      </c>
      <c r="F106" s="85" t="str">
        <f t="shared" si="8"/>
        <v>pm</v>
      </c>
      <c r="G106" s="85" t="s">
        <v>622</v>
      </c>
      <c r="H106" s="85" t="s">
        <v>163</v>
      </c>
      <c r="I106" s="85" t="s">
        <v>623</v>
      </c>
      <c r="K106" s="86">
        <f t="shared" si="9"/>
        <v>1624.5609294988997</v>
      </c>
      <c r="M106" s="86">
        <v>1600</v>
      </c>
      <c r="P106" s="85">
        <v>1624.5609294988997</v>
      </c>
    </row>
    <row r="107" spans="1:18" x14ac:dyDescent="0.3">
      <c r="A107" s="85">
        <v>6</v>
      </c>
      <c r="C107" s="85">
        <f t="shared" si="5"/>
        <v>44</v>
      </c>
      <c r="D107" s="85">
        <f t="shared" si="6"/>
        <v>44</v>
      </c>
      <c r="E107" s="85">
        <f t="shared" si="7"/>
        <v>13</v>
      </c>
      <c r="F107" s="85" t="str">
        <f t="shared" si="8"/>
        <v>pm</v>
      </c>
      <c r="G107" s="85" t="s">
        <v>239</v>
      </c>
      <c r="H107" s="85" t="s">
        <v>167</v>
      </c>
      <c r="I107" s="85" t="s">
        <v>238</v>
      </c>
      <c r="K107" s="86">
        <f t="shared" si="9"/>
        <v>1572.8096018157437</v>
      </c>
      <c r="M107" s="86">
        <v>1600</v>
      </c>
      <c r="P107" s="85">
        <v>1573.3453296849921</v>
      </c>
      <c r="R107" s="85">
        <v>1572.8096018157437</v>
      </c>
    </row>
    <row r="108" spans="1:18" x14ac:dyDescent="0.3">
      <c r="A108" s="85">
        <v>6</v>
      </c>
      <c r="C108" s="85">
        <f t="shared" si="5"/>
        <v>45</v>
      </c>
      <c r="D108" s="85">
        <f t="shared" si="6"/>
        <v>45</v>
      </c>
      <c r="E108" s="85">
        <f t="shared" si="7"/>
        <v>13</v>
      </c>
      <c r="F108" s="85" t="str">
        <f t="shared" si="8"/>
        <v>pm</v>
      </c>
      <c r="G108" s="85" t="s">
        <v>624</v>
      </c>
      <c r="H108" s="85" t="s">
        <v>167</v>
      </c>
      <c r="I108" s="85" t="s">
        <v>240</v>
      </c>
      <c r="K108" s="86">
        <f t="shared" si="9"/>
        <v>1537.5405912044225</v>
      </c>
      <c r="M108" s="86">
        <v>1600</v>
      </c>
      <c r="P108" s="85">
        <v>1517.3416472478507</v>
      </c>
      <c r="R108" s="85">
        <v>1537.5405912044225</v>
      </c>
    </row>
    <row r="109" spans="1:18" x14ac:dyDescent="0.3">
      <c r="A109" s="85">
        <v>5</v>
      </c>
      <c r="C109" s="85">
        <f t="shared" si="5"/>
        <v>46</v>
      </c>
      <c r="D109" s="85">
        <f t="shared" si="6"/>
        <v>46</v>
      </c>
      <c r="E109" s="85">
        <f t="shared" si="7"/>
        <v>13</v>
      </c>
      <c r="F109" s="85" t="str">
        <f t="shared" si="8"/>
        <v>pm</v>
      </c>
      <c r="G109" s="85" t="s">
        <v>241</v>
      </c>
      <c r="H109" s="85" t="s">
        <v>242</v>
      </c>
      <c r="I109" s="85" t="s">
        <v>625</v>
      </c>
      <c r="K109" s="86">
        <f t="shared" si="9"/>
        <v>1456.2733865021585</v>
      </c>
      <c r="M109" s="86">
        <v>1600</v>
      </c>
      <c r="P109" s="85">
        <v>1519.0582184667064</v>
      </c>
      <c r="R109" s="85">
        <v>1456.2733865021585</v>
      </c>
    </row>
    <row r="110" spans="1:18" x14ac:dyDescent="0.3">
      <c r="A110" s="85">
        <v>3</v>
      </c>
      <c r="C110" s="85">
        <f t="shared" si="5"/>
        <v>47</v>
      </c>
      <c r="D110" s="85">
        <f t="shared" si="6"/>
        <v>47</v>
      </c>
      <c r="E110" s="85">
        <f t="shared" si="7"/>
        <v>13</v>
      </c>
      <c r="F110" s="85" t="str">
        <f t="shared" si="8"/>
        <v>cr</v>
      </c>
      <c r="G110" s="85" t="s">
        <v>429</v>
      </c>
      <c r="H110" s="85" t="s">
        <v>495</v>
      </c>
      <c r="I110" s="85" t="s">
        <v>430</v>
      </c>
      <c r="K110" s="86">
        <f t="shared" si="9"/>
        <v>1661.5665624514031</v>
      </c>
      <c r="M110" s="86">
        <v>1600</v>
      </c>
      <c r="P110" s="85">
        <v>1661.5665624514031</v>
      </c>
    </row>
    <row r="111" spans="1:18" x14ac:dyDescent="0.3">
      <c r="A111" s="85">
        <v>3</v>
      </c>
      <c r="C111" s="85">
        <f t="shared" si="5"/>
        <v>48</v>
      </c>
      <c r="D111" s="85">
        <f t="shared" si="6"/>
        <v>48</v>
      </c>
      <c r="E111" s="85">
        <f t="shared" si="7"/>
        <v>13</v>
      </c>
      <c r="F111" s="85" t="str">
        <f t="shared" si="8"/>
        <v>cr</v>
      </c>
      <c r="G111" s="85" t="s">
        <v>434</v>
      </c>
      <c r="H111" s="85" t="s">
        <v>495</v>
      </c>
      <c r="I111" s="85" t="s">
        <v>435</v>
      </c>
      <c r="K111" s="86">
        <f t="shared" si="9"/>
        <v>1559.6889762457713</v>
      </c>
      <c r="M111" s="86">
        <v>1600</v>
      </c>
      <c r="P111" s="85">
        <v>1559.6889762457713</v>
      </c>
    </row>
    <row r="112" spans="1:18" x14ac:dyDescent="0.3">
      <c r="A112" s="85">
        <v>3</v>
      </c>
      <c r="C112" s="85">
        <f t="shared" si="5"/>
        <v>49</v>
      </c>
      <c r="D112" s="85">
        <f t="shared" si="6"/>
        <v>49</v>
      </c>
      <c r="E112" s="85">
        <f t="shared" si="7"/>
        <v>13</v>
      </c>
      <c r="F112" s="85" t="str">
        <f t="shared" si="8"/>
        <v>cr</v>
      </c>
      <c r="G112" s="85" t="s">
        <v>431</v>
      </c>
      <c r="H112" s="85" t="s">
        <v>495</v>
      </c>
      <c r="I112" s="85" t="s">
        <v>432</v>
      </c>
      <c r="K112" s="86">
        <f t="shared" si="9"/>
        <v>1511.3897934488341</v>
      </c>
      <c r="M112" s="86">
        <v>1600</v>
      </c>
      <c r="P112" s="85">
        <v>1511.3897934488341</v>
      </c>
    </row>
    <row r="113" spans="1:18" x14ac:dyDescent="0.3">
      <c r="A113" s="85">
        <v>1</v>
      </c>
      <c r="C113" s="85">
        <f t="shared" si="5"/>
        <v>50</v>
      </c>
      <c r="D113" s="85">
        <f t="shared" si="6"/>
        <v>50</v>
      </c>
      <c r="E113" s="85">
        <f t="shared" si="7"/>
        <v>13</v>
      </c>
      <c r="F113" s="85" t="str">
        <f t="shared" si="8"/>
        <v>crx</v>
      </c>
      <c r="G113" s="85" t="s">
        <v>444</v>
      </c>
      <c r="H113" s="85" t="s">
        <v>546</v>
      </c>
      <c r="I113" s="85" t="s">
        <v>626</v>
      </c>
      <c r="K113" s="86">
        <f t="shared" si="9"/>
        <v>1660.2940034477117</v>
      </c>
      <c r="M113" s="86">
        <v>1600</v>
      </c>
      <c r="P113" s="85">
        <v>1660.2940034477117</v>
      </c>
    </row>
    <row r="114" spans="1:18" x14ac:dyDescent="0.3">
      <c r="A114" s="85">
        <v>3</v>
      </c>
      <c r="C114" s="85">
        <f t="shared" si="5"/>
        <v>51</v>
      </c>
      <c r="D114" s="85">
        <f t="shared" si="6"/>
        <v>51</v>
      </c>
      <c r="E114" s="85">
        <f t="shared" si="7"/>
        <v>13</v>
      </c>
      <c r="F114" s="85" t="str">
        <f t="shared" si="8"/>
        <v>cr</v>
      </c>
      <c r="G114" s="85" t="s">
        <v>627</v>
      </c>
      <c r="H114" s="85" t="s">
        <v>628</v>
      </c>
      <c r="I114" s="85" t="s">
        <v>629</v>
      </c>
      <c r="K114" s="86">
        <f t="shared" si="9"/>
        <v>1598.4807731004059</v>
      </c>
      <c r="M114" s="86">
        <v>1600</v>
      </c>
      <c r="R114" s="85">
        <v>1598.4807731004059</v>
      </c>
    </row>
    <row r="115" spans="1:18" x14ac:dyDescent="0.3">
      <c r="A115" s="85">
        <v>1</v>
      </c>
      <c r="C115" s="85">
        <f t="shared" si="5"/>
        <v>52</v>
      </c>
      <c r="D115" s="85">
        <f t="shared" si="6"/>
        <v>52</v>
      </c>
      <c r="E115" s="85">
        <f t="shared" si="7"/>
        <v>13</v>
      </c>
      <c r="F115" s="85" t="str">
        <f t="shared" si="8"/>
        <v>sox</v>
      </c>
      <c r="G115" s="85" t="s">
        <v>630</v>
      </c>
      <c r="H115" s="85" t="s">
        <v>582</v>
      </c>
      <c r="I115" s="85" t="s">
        <v>631</v>
      </c>
      <c r="K115" s="86">
        <f t="shared" si="9"/>
        <v>1600</v>
      </c>
      <c r="M115" s="86">
        <v>1600</v>
      </c>
    </row>
    <row r="116" spans="1:18" x14ac:dyDescent="0.3">
      <c r="A116" s="85">
        <v>1</v>
      </c>
      <c r="C116" s="85">
        <f t="shared" si="5"/>
        <v>53</v>
      </c>
      <c r="D116" s="85">
        <f t="shared" si="6"/>
        <v>52</v>
      </c>
      <c r="E116" s="85">
        <f t="shared" si="7"/>
        <v>13</v>
      </c>
      <c r="F116" s="85" t="str">
        <f t="shared" si="8"/>
        <v>sox</v>
      </c>
      <c r="G116" s="85" t="s">
        <v>632</v>
      </c>
      <c r="H116" s="85" t="s">
        <v>633</v>
      </c>
      <c r="I116" s="85" t="s">
        <v>433</v>
      </c>
      <c r="K116" s="86">
        <f t="shared" si="9"/>
        <v>1600</v>
      </c>
      <c r="M116" s="86">
        <v>1600</v>
      </c>
    </row>
    <row r="117" spans="1:18" x14ac:dyDescent="0.3">
      <c r="A117" s="85">
        <v>4</v>
      </c>
      <c r="C117" s="85">
        <f t="shared" si="5"/>
        <v>1</v>
      </c>
      <c r="D117" s="85">
        <f t="shared" si="6"/>
        <v>1</v>
      </c>
      <c r="E117" s="85">
        <f t="shared" si="7"/>
        <v>14</v>
      </c>
      <c r="F117" s="85" t="str">
        <f t="shared" si="8"/>
        <v>pm</v>
      </c>
      <c r="G117" s="85" t="s">
        <v>245</v>
      </c>
      <c r="H117" s="85" t="s">
        <v>144</v>
      </c>
      <c r="I117" s="85" t="s">
        <v>246</v>
      </c>
      <c r="K117" s="86">
        <f t="shared" si="9"/>
        <v>2151.3312763980157</v>
      </c>
      <c r="M117" s="86">
        <v>2200</v>
      </c>
      <c r="P117" s="85">
        <v>2151.3312763980157</v>
      </c>
    </row>
    <row r="118" spans="1:18" x14ac:dyDescent="0.3">
      <c r="A118" s="85">
        <v>4</v>
      </c>
      <c r="C118" s="85">
        <f t="shared" si="5"/>
        <v>2</v>
      </c>
      <c r="D118" s="85">
        <f t="shared" si="6"/>
        <v>2</v>
      </c>
      <c r="E118" s="85">
        <f t="shared" si="7"/>
        <v>14</v>
      </c>
      <c r="F118" s="85" t="str">
        <f t="shared" si="8"/>
        <v>pm</v>
      </c>
      <c r="G118" s="85" t="s">
        <v>282</v>
      </c>
      <c r="H118" s="85" t="s">
        <v>144</v>
      </c>
      <c r="I118" s="85" t="s">
        <v>634</v>
      </c>
      <c r="K118" s="86">
        <f t="shared" si="9"/>
        <v>2156.4076860800524</v>
      </c>
      <c r="M118" s="86">
        <v>2200</v>
      </c>
      <c r="P118" s="85">
        <v>2156.4076860800524</v>
      </c>
    </row>
    <row r="119" spans="1:18" x14ac:dyDescent="0.3">
      <c r="A119" s="85">
        <v>1</v>
      </c>
      <c r="C119" s="85">
        <f t="shared" si="5"/>
        <v>3</v>
      </c>
      <c r="D119" s="85">
        <f t="shared" si="6"/>
        <v>3</v>
      </c>
      <c r="E119" s="85">
        <f t="shared" si="7"/>
        <v>14</v>
      </c>
      <c r="F119" s="85" t="str">
        <f t="shared" si="8"/>
        <v>pmx</v>
      </c>
      <c r="G119" s="85" t="s">
        <v>247</v>
      </c>
      <c r="H119" s="85" t="s">
        <v>175</v>
      </c>
      <c r="I119" s="85" t="s">
        <v>635</v>
      </c>
      <c r="K119" s="86">
        <f t="shared" si="9"/>
        <v>2268.5029408042979</v>
      </c>
      <c r="M119" s="86">
        <v>2200</v>
      </c>
      <c r="P119" s="85">
        <v>2268.5029408042979</v>
      </c>
    </row>
    <row r="120" spans="1:18" x14ac:dyDescent="0.3">
      <c r="A120" s="85">
        <v>3</v>
      </c>
      <c r="C120" s="85">
        <f t="shared" si="5"/>
        <v>4</v>
      </c>
      <c r="D120" s="85">
        <f t="shared" si="6"/>
        <v>4</v>
      </c>
      <c r="E120" s="85">
        <f t="shared" si="7"/>
        <v>14</v>
      </c>
      <c r="F120" s="85" t="str">
        <f t="shared" si="8"/>
        <v>pm</v>
      </c>
      <c r="G120" s="85" t="s">
        <v>288</v>
      </c>
      <c r="H120" s="85" t="s">
        <v>175</v>
      </c>
      <c r="I120" s="85" t="s">
        <v>636</v>
      </c>
      <c r="K120" s="86">
        <f t="shared" si="9"/>
        <v>2203.730133714088</v>
      </c>
      <c r="M120" s="86">
        <v>2200</v>
      </c>
      <c r="O120" s="85">
        <v>2186.0000721639085</v>
      </c>
      <c r="P120" s="85">
        <v>2203.730133714088</v>
      </c>
    </row>
    <row r="121" spans="1:18" x14ac:dyDescent="0.3">
      <c r="A121" s="85">
        <v>5</v>
      </c>
      <c r="C121" s="85">
        <f t="shared" si="5"/>
        <v>5</v>
      </c>
      <c r="D121" s="85">
        <f t="shared" si="6"/>
        <v>5</v>
      </c>
      <c r="E121" s="85">
        <f t="shared" si="7"/>
        <v>14</v>
      </c>
      <c r="F121" s="85" t="str">
        <f t="shared" si="8"/>
        <v>pm</v>
      </c>
      <c r="G121" s="85" t="s">
        <v>254</v>
      </c>
      <c r="H121" s="85" t="s">
        <v>186</v>
      </c>
      <c r="I121" s="85" t="s">
        <v>637</v>
      </c>
      <c r="K121" s="86">
        <f t="shared" si="9"/>
        <v>1995.4124922055146</v>
      </c>
      <c r="M121" s="86">
        <v>2200</v>
      </c>
      <c r="O121" s="85">
        <v>2053.0946682245371</v>
      </c>
      <c r="Q121" s="85">
        <v>1995.4124922055146</v>
      </c>
    </row>
    <row r="122" spans="1:18" x14ac:dyDescent="0.3">
      <c r="A122" s="85">
        <v>6</v>
      </c>
      <c r="C122" s="85">
        <f t="shared" si="5"/>
        <v>6</v>
      </c>
      <c r="D122" s="85">
        <f t="shared" si="6"/>
        <v>6</v>
      </c>
      <c r="E122" s="85">
        <f t="shared" si="7"/>
        <v>14</v>
      </c>
      <c r="F122" s="85" t="str">
        <f t="shared" si="8"/>
        <v>pm</v>
      </c>
      <c r="G122" s="85" t="s">
        <v>638</v>
      </c>
      <c r="H122" s="85" t="s">
        <v>416</v>
      </c>
      <c r="I122" s="85" t="s">
        <v>639</v>
      </c>
      <c r="K122" s="86">
        <f t="shared" si="9"/>
        <v>2241.891408622294</v>
      </c>
      <c r="M122" s="86">
        <v>2200</v>
      </c>
      <c r="O122" s="85">
        <v>2269.3527841117907</v>
      </c>
      <c r="P122" s="85">
        <v>2241.891408622294</v>
      </c>
    </row>
    <row r="123" spans="1:18" x14ac:dyDescent="0.3">
      <c r="A123" s="85">
        <v>2</v>
      </c>
      <c r="C123" s="85">
        <f t="shared" si="5"/>
        <v>7</v>
      </c>
      <c r="D123" s="85">
        <f t="shared" si="6"/>
        <v>7</v>
      </c>
      <c r="E123" s="85">
        <f t="shared" si="7"/>
        <v>14</v>
      </c>
      <c r="F123" s="85" t="str">
        <f t="shared" si="8"/>
        <v>pm</v>
      </c>
      <c r="G123" s="85" t="s">
        <v>257</v>
      </c>
      <c r="H123" s="85" t="s">
        <v>258</v>
      </c>
      <c r="I123" s="85" t="s">
        <v>640</v>
      </c>
      <c r="K123" s="86">
        <f t="shared" si="9"/>
        <v>2200</v>
      </c>
      <c r="M123" s="86">
        <v>2200</v>
      </c>
    </row>
    <row r="124" spans="1:18" x14ac:dyDescent="0.3">
      <c r="A124" s="85">
        <v>2</v>
      </c>
      <c r="C124" s="85">
        <f t="shared" si="5"/>
        <v>8</v>
      </c>
      <c r="D124" s="85">
        <f t="shared" si="6"/>
        <v>8</v>
      </c>
      <c r="E124" s="85">
        <f t="shared" si="7"/>
        <v>14</v>
      </c>
      <c r="F124" s="85" t="str">
        <f t="shared" si="8"/>
        <v>pm</v>
      </c>
      <c r="G124" s="85" t="s">
        <v>262</v>
      </c>
      <c r="H124" s="85" t="s">
        <v>163</v>
      </c>
      <c r="I124" s="85" t="s">
        <v>263</v>
      </c>
      <c r="K124" s="86">
        <f t="shared" si="9"/>
        <v>2207.6972005187226</v>
      </c>
      <c r="M124" s="86">
        <v>2200</v>
      </c>
      <c r="Q124" s="85">
        <v>2207.6972005187226</v>
      </c>
    </row>
    <row r="125" spans="1:18" x14ac:dyDescent="0.3">
      <c r="A125" s="85">
        <v>1</v>
      </c>
      <c r="C125" s="85">
        <f t="shared" si="5"/>
        <v>9</v>
      </c>
      <c r="D125" s="85">
        <f t="shared" si="6"/>
        <v>9</v>
      </c>
      <c r="E125" s="85">
        <f t="shared" si="7"/>
        <v>14</v>
      </c>
      <c r="F125" s="85" t="str">
        <f t="shared" si="8"/>
        <v>pmx</v>
      </c>
      <c r="G125" s="85" t="s">
        <v>264</v>
      </c>
      <c r="H125" s="85" t="s">
        <v>142</v>
      </c>
      <c r="I125" s="85" t="s">
        <v>265</v>
      </c>
      <c r="K125" s="86">
        <f t="shared" si="9"/>
        <v>2364.2115246034632</v>
      </c>
      <c r="M125" s="86">
        <v>2200</v>
      </c>
      <c r="P125" s="85">
        <v>2364.2115246034632</v>
      </c>
    </row>
    <row r="126" spans="1:18" x14ac:dyDescent="0.3">
      <c r="A126" s="85">
        <v>1</v>
      </c>
      <c r="C126" s="85">
        <f t="shared" si="5"/>
        <v>10</v>
      </c>
      <c r="D126" s="85">
        <f t="shared" si="6"/>
        <v>10</v>
      </c>
      <c r="E126" s="85">
        <f t="shared" si="7"/>
        <v>14</v>
      </c>
      <c r="F126" s="85" t="str">
        <f t="shared" si="8"/>
        <v>pmx</v>
      </c>
      <c r="G126" s="85" t="s">
        <v>641</v>
      </c>
      <c r="H126" s="85" t="s">
        <v>142</v>
      </c>
      <c r="I126" s="85" t="s">
        <v>642</v>
      </c>
      <c r="K126" s="86">
        <f t="shared" si="9"/>
        <v>2226.2504011223741</v>
      </c>
      <c r="M126" s="86">
        <v>2200</v>
      </c>
      <c r="P126" s="85">
        <v>2226.2504011223741</v>
      </c>
    </row>
    <row r="127" spans="1:18" x14ac:dyDescent="0.3">
      <c r="A127" s="85">
        <v>4</v>
      </c>
      <c r="C127" s="85">
        <f t="shared" si="5"/>
        <v>11</v>
      </c>
      <c r="D127" s="85">
        <f t="shared" si="6"/>
        <v>11</v>
      </c>
      <c r="E127" s="85">
        <f t="shared" si="7"/>
        <v>14</v>
      </c>
      <c r="F127" s="85" t="str">
        <f t="shared" si="8"/>
        <v>pm</v>
      </c>
      <c r="G127" s="85" t="s">
        <v>266</v>
      </c>
      <c r="H127" s="85" t="s">
        <v>497</v>
      </c>
      <c r="I127" s="85" t="s">
        <v>643</v>
      </c>
      <c r="K127" s="86">
        <f t="shared" si="9"/>
        <v>2322.9599348939805</v>
      </c>
      <c r="M127" s="86">
        <v>2200</v>
      </c>
      <c r="P127" s="85">
        <v>2252.1735845054504</v>
      </c>
      <c r="Q127" s="85">
        <v>2322.9599348939805</v>
      </c>
    </row>
    <row r="128" spans="1:18" x14ac:dyDescent="0.3">
      <c r="A128" s="85">
        <v>4</v>
      </c>
      <c r="C128" s="85">
        <f t="shared" si="5"/>
        <v>12</v>
      </c>
      <c r="D128" s="85">
        <f t="shared" si="6"/>
        <v>12</v>
      </c>
      <c r="E128" s="85">
        <f t="shared" si="7"/>
        <v>14</v>
      </c>
      <c r="F128" s="85" t="str">
        <f t="shared" si="8"/>
        <v>pm</v>
      </c>
      <c r="G128" s="85" t="s">
        <v>267</v>
      </c>
      <c r="H128" s="85" t="s">
        <v>497</v>
      </c>
      <c r="I128" s="85" t="s">
        <v>644</v>
      </c>
      <c r="K128" s="86">
        <f t="shared" si="9"/>
        <v>2256.7216718863097</v>
      </c>
      <c r="M128" s="86">
        <v>2200</v>
      </c>
      <c r="P128" s="85">
        <v>2244.6644171731336</v>
      </c>
      <c r="Q128" s="85">
        <v>2256.7216718863097</v>
      </c>
    </row>
    <row r="129" spans="1:17" x14ac:dyDescent="0.3">
      <c r="A129" s="85">
        <v>4</v>
      </c>
      <c r="C129" s="85">
        <f t="shared" si="5"/>
        <v>13</v>
      </c>
      <c r="D129" s="85">
        <f t="shared" si="6"/>
        <v>13</v>
      </c>
      <c r="E129" s="85">
        <f t="shared" si="7"/>
        <v>14</v>
      </c>
      <c r="F129" s="85" t="str">
        <f t="shared" si="8"/>
        <v>pm</v>
      </c>
      <c r="G129" s="85" t="s">
        <v>276</v>
      </c>
      <c r="H129" s="85" t="s">
        <v>497</v>
      </c>
      <c r="I129" s="85" t="s">
        <v>645</v>
      </c>
      <c r="K129" s="86">
        <f t="shared" si="9"/>
        <v>2190.8176806406782</v>
      </c>
      <c r="M129" s="86">
        <v>2200</v>
      </c>
      <c r="P129" s="85">
        <v>2134.2419780029754</v>
      </c>
      <c r="Q129" s="85">
        <v>2190.8176806406782</v>
      </c>
    </row>
    <row r="130" spans="1:17" x14ac:dyDescent="0.3">
      <c r="A130" s="85">
        <v>3</v>
      </c>
      <c r="C130" s="85">
        <f t="shared" ref="C130:C193" si="10">IF(E130=E129,C129+1,1)</f>
        <v>14</v>
      </c>
      <c r="D130" s="85">
        <f t="shared" ref="D130:D193" si="11">IF(K130=K129,D129,C130)</f>
        <v>14</v>
      </c>
      <c r="E130" s="85">
        <f t="shared" ref="E130:E193" si="12">10+VALUE(RIGHT(LEFT(G130,3),1))</f>
        <v>14</v>
      </c>
      <c r="F130" s="85" t="str">
        <f t="shared" ref="F130:F193" si="13">RIGHT(G130,2) &amp; IF(A130&lt;2,"x","")</f>
        <v>pm</v>
      </c>
      <c r="G130" s="85" t="s">
        <v>646</v>
      </c>
      <c r="H130" s="85" t="s">
        <v>534</v>
      </c>
      <c r="I130" s="85" t="s">
        <v>647</v>
      </c>
      <c r="K130" s="86">
        <f t="shared" ref="K130:K193" si="14">LOOKUP(1E+100,M130:AB130)</f>
        <v>2154.5117880449393</v>
      </c>
      <c r="M130" s="86">
        <v>2200</v>
      </c>
      <c r="Q130" s="85">
        <v>2154.5117880449393</v>
      </c>
    </row>
    <row r="131" spans="1:17" x14ac:dyDescent="0.3">
      <c r="A131" s="85">
        <v>5</v>
      </c>
      <c r="C131" s="85">
        <f t="shared" si="10"/>
        <v>15</v>
      </c>
      <c r="D131" s="85">
        <f t="shared" si="11"/>
        <v>15</v>
      </c>
      <c r="E131" s="85">
        <f t="shared" si="12"/>
        <v>14</v>
      </c>
      <c r="F131" s="85" t="str">
        <f t="shared" si="13"/>
        <v>pm</v>
      </c>
      <c r="G131" s="85" t="s">
        <v>268</v>
      </c>
      <c r="H131" s="85" t="s">
        <v>167</v>
      </c>
      <c r="I131" s="85" t="s">
        <v>648</v>
      </c>
      <c r="K131" s="86">
        <f t="shared" si="14"/>
        <v>2234.3526263757667</v>
      </c>
      <c r="M131" s="86">
        <v>2200</v>
      </c>
      <c r="Q131" s="85">
        <v>2234.3526263757667</v>
      </c>
    </row>
    <row r="132" spans="1:17" x14ac:dyDescent="0.3">
      <c r="A132" s="85">
        <v>5</v>
      </c>
      <c r="C132" s="85">
        <f t="shared" si="10"/>
        <v>16</v>
      </c>
      <c r="D132" s="85">
        <f t="shared" si="11"/>
        <v>16</v>
      </c>
      <c r="E132" s="85">
        <f t="shared" si="12"/>
        <v>14</v>
      </c>
      <c r="F132" s="85" t="str">
        <f t="shared" si="13"/>
        <v>pm</v>
      </c>
      <c r="G132" s="85" t="s">
        <v>269</v>
      </c>
      <c r="H132" s="85" t="s">
        <v>167</v>
      </c>
      <c r="I132" s="85" t="s">
        <v>649</v>
      </c>
      <c r="K132" s="86">
        <f t="shared" si="14"/>
        <v>2144.1609008331397</v>
      </c>
      <c r="M132" s="86">
        <v>2200</v>
      </c>
      <c r="Q132" s="85">
        <v>2144.1609008331397</v>
      </c>
    </row>
    <row r="133" spans="1:17" x14ac:dyDescent="0.3">
      <c r="A133" s="85">
        <v>2</v>
      </c>
      <c r="C133" s="85">
        <f t="shared" si="10"/>
        <v>17</v>
      </c>
      <c r="D133" s="85">
        <f t="shared" si="11"/>
        <v>17</v>
      </c>
      <c r="E133" s="85">
        <f t="shared" si="12"/>
        <v>14</v>
      </c>
      <c r="F133" s="85" t="str">
        <f t="shared" si="13"/>
        <v>pm</v>
      </c>
      <c r="G133" s="85" t="s">
        <v>302</v>
      </c>
      <c r="H133" s="85" t="s">
        <v>167</v>
      </c>
      <c r="I133" s="85" t="s">
        <v>650</v>
      </c>
      <c r="K133" s="86">
        <f t="shared" si="14"/>
        <v>2200</v>
      </c>
      <c r="M133" s="86">
        <v>2200</v>
      </c>
    </row>
    <row r="134" spans="1:17" x14ac:dyDescent="0.3">
      <c r="A134" s="85">
        <v>2</v>
      </c>
      <c r="C134" s="85">
        <f t="shared" si="10"/>
        <v>18</v>
      </c>
      <c r="D134" s="85">
        <f t="shared" si="11"/>
        <v>18</v>
      </c>
      <c r="E134" s="85">
        <f t="shared" si="12"/>
        <v>14</v>
      </c>
      <c r="F134" s="85" t="str">
        <f t="shared" si="13"/>
        <v>pm</v>
      </c>
      <c r="G134" s="85" t="s">
        <v>651</v>
      </c>
      <c r="H134" s="85" t="s">
        <v>331</v>
      </c>
      <c r="I134" s="85" t="s">
        <v>652</v>
      </c>
      <c r="K134" s="86">
        <f t="shared" si="14"/>
        <v>2073.5421959918044</v>
      </c>
      <c r="M134" s="86">
        <v>2200</v>
      </c>
      <c r="P134" s="85">
        <v>2073.5421959918044</v>
      </c>
    </row>
    <row r="135" spans="1:17" x14ac:dyDescent="0.3">
      <c r="A135" s="85">
        <v>2</v>
      </c>
      <c r="C135" s="85">
        <f t="shared" si="10"/>
        <v>19</v>
      </c>
      <c r="D135" s="85">
        <f t="shared" si="11"/>
        <v>19</v>
      </c>
      <c r="E135" s="85">
        <f t="shared" si="12"/>
        <v>14</v>
      </c>
      <c r="F135" s="85" t="str">
        <f t="shared" si="13"/>
        <v>pm</v>
      </c>
      <c r="G135" s="85" t="s">
        <v>270</v>
      </c>
      <c r="H135" s="85" t="s">
        <v>159</v>
      </c>
      <c r="I135" s="85" t="s">
        <v>653</v>
      </c>
      <c r="K135" s="86">
        <f t="shared" si="14"/>
        <v>2200</v>
      </c>
      <c r="M135" s="86">
        <v>2200</v>
      </c>
    </row>
    <row r="136" spans="1:17" x14ac:dyDescent="0.3">
      <c r="A136" s="85">
        <v>3</v>
      </c>
      <c r="C136" s="85">
        <f t="shared" si="10"/>
        <v>20</v>
      </c>
      <c r="D136" s="85">
        <f t="shared" si="11"/>
        <v>19</v>
      </c>
      <c r="E136" s="85">
        <f t="shared" si="12"/>
        <v>14</v>
      </c>
      <c r="F136" s="85" t="str">
        <f t="shared" si="13"/>
        <v>pm</v>
      </c>
      <c r="G136" s="85" t="s">
        <v>271</v>
      </c>
      <c r="H136" s="85" t="s">
        <v>502</v>
      </c>
      <c r="I136" s="85" t="s">
        <v>654</v>
      </c>
      <c r="K136" s="86">
        <f t="shared" si="14"/>
        <v>2200</v>
      </c>
      <c r="M136" s="86">
        <v>2200</v>
      </c>
    </row>
    <row r="137" spans="1:17" x14ac:dyDescent="0.3">
      <c r="A137" s="85">
        <v>1</v>
      </c>
      <c r="C137" s="85">
        <f t="shared" si="10"/>
        <v>21</v>
      </c>
      <c r="D137" s="85">
        <f t="shared" si="11"/>
        <v>19</v>
      </c>
      <c r="E137" s="85">
        <f t="shared" si="12"/>
        <v>14</v>
      </c>
      <c r="F137" s="85" t="str">
        <f t="shared" si="13"/>
        <v>crx</v>
      </c>
      <c r="G137" s="85" t="s">
        <v>655</v>
      </c>
      <c r="H137" s="85" t="s">
        <v>576</v>
      </c>
      <c r="I137" s="85" t="s">
        <v>656</v>
      </c>
      <c r="K137" s="86">
        <f t="shared" si="14"/>
        <v>2200</v>
      </c>
      <c r="M137" s="86">
        <v>2200</v>
      </c>
    </row>
    <row r="138" spans="1:17" x14ac:dyDescent="0.3">
      <c r="A138" s="85">
        <v>1</v>
      </c>
      <c r="C138" s="85">
        <f t="shared" si="10"/>
        <v>22</v>
      </c>
      <c r="D138" s="85">
        <f t="shared" si="11"/>
        <v>19</v>
      </c>
      <c r="E138" s="85">
        <f t="shared" si="12"/>
        <v>14</v>
      </c>
      <c r="F138" s="85" t="str">
        <f t="shared" si="13"/>
        <v>crx</v>
      </c>
      <c r="G138" s="85" t="s">
        <v>657</v>
      </c>
      <c r="H138" s="85" t="s">
        <v>579</v>
      </c>
      <c r="I138" s="85" t="s">
        <v>658</v>
      </c>
      <c r="K138" s="86">
        <f t="shared" si="14"/>
        <v>2200</v>
      </c>
      <c r="M138" s="86">
        <v>2200</v>
      </c>
    </row>
    <row r="139" spans="1:17" x14ac:dyDescent="0.3">
      <c r="A139" s="85">
        <v>1</v>
      </c>
      <c r="C139" s="85">
        <f t="shared" si="10"/>
        <v>23</v>
      </c>
      <c r="D139" s="85">
        <f t="shared" si="11"/>
        <v>19</v>
      </c>
      <c r="E139" s="85">
        <f t="shared" si="12"/>
        <v>14</v>
      </c>
      <c r="F139" s="85" t="str">
        <f t="shared" si="13"/>
        <v>crx</v>
      </c>
      <c r="G139" s="85" t="s">
        <v>659</v>
      </c>
      <c r="H139" s="85" t="s">
        <v>579</v>
      </c>
      <c r="I139" s="85" t="s">
        <v>660</v>
      </c>
      <c r="K139" s="86">
        <f t="shared" si="14"/>
        <v>2200</v>
      </c>
      <c r="M139" s="86">
        <v>2200</v>
      </c>
    </row>
    <row r="140" spans="1:17" x14ac:dyDescent="0.3">
      <c r="A140" s="85">
        <v>1</v>
      </c>
      <c r="C140" s="85">
        <f t="shared" si="10"/>
        <v>24</v>
      </c>
      <c r="D140" s="85">
        <f t="shared" si="11"/>
        <v>19</v>
      </c>
      <c r="E140" s="85">
        <f t="shared" si="12"/>
        <v>14</v>
      </c>
      <c r="F140" s="85" t="str">
        <f t="shared" si="13"/>
        <v>sox</v>
      </c>
      <c r="G140" s="85" t="s">
        <v>661</v>
      </c>
      <c r="H140" s="85" t="s">
        <v>582</v>
      </c>
      <c r="I140" s="85" t="s">
        <v>662</v>
      </c>
      <c r="K140" s="86">
        <f t="shared" si="14"/>
        <v>2200</v>
      </c>
      <c r="M140" s="86">
        <v>2200</v>
      </c>
    </row>
    <row r="141" spans="1:17" x14ac:dyDescent="0.3">
      <c r="A141" s="85">
        <v>3</v>
      </c>
      <c r="C141" s="85">
        <f t="shared" si="10"/>
        <v>25</v>
      </c>
      <c r="D141" s="85">
        <f t="shared" si="11"/>
        <v>25</v>
      </c>
      <c r="E141" s="85">
        <f t="shared" si="12"/>
        <v>14</v>
      </c>
      <c r="F141" s="85" t="str">
        <f t="shared" si="13"/>
        <v>pm</v>
      </c>
      <c r="G141" s="85" t="s">
        <v>244</v>
      </c>
      <c r="H141" s="85" t="s">
        <v>144</v>
      </c>
      <c r="I141" s="85" t="s">
        <v>663</v>
      </c>
      <c r="K141" s="86">
        <f t="shared" si="14"/>
        <v>2326.5309750174952</v>
      </c>
      <c r="M141" s="86">
        <v>2200</v>
      </c>
      <c r="N141" s="85">
        <v>2326.5309750174952</v>
      </c>
    </row>
    <row r="142" spans="1:17" x14ac:dyDescent="0.3">
      <c r="A142" s="85">
        <v>5</v>
      </c>
      <c r="C142" s="85">
        <f t="shared" si="10"/>
        <v>26</v>
      </c>
      <c r="D142" s="85">
        <f t="shared" si="11"/>
        <v>26</v>
      </c>
      <c r="E142" s="85">
        <f t="shared" si="12"/>
        <v>14</v>
      </c>
      <c r="F142" s="85" t="str">
        <f t="shared" si="13"/>
        <v>pm</v>
      </c>
      <c r="G142" s="85" t="s">
        <v>248</v>
      </c>
      <c r="H142" s="85" t="s">
        <v>177</v>
      </c>
      <c r="I142" s="85" t="s">
        <v>664</v>
      </c>
      <c r="K142" s="86">
        <f t="shared" si="14"/>
        <v>2312.0767912270649</v>
      </c>
      <c r="M142" s="86">
        <v>2200</v>
      </c>
      <c r="P142" s="85">
        <v>2278.4525646033417</v>
      </c>
      <c r="Q142" s="85">
        <v>2312.0767912270649</v>
      </c>
    </row>
    <row r="143" spans="1:17" x14ac:dyDescent="0.3">
      <c r="A143" s="85">
        <v>1</v>
      </c>
      <c r="C143" s="85">
        <f t="shared" si="10"/>
        <v>27</v>
      </c>
      <c r="D143" s="85">
        <f t="shared" si="11"/>
        <v>27</v>
      </c>
      <c r="E143" s="85">
        <f t="shared" si="12"/>
        <v>14</v>
      </c>
      <c r="F143" s="85" t="str">
        <f t="shared" si="13"/>
        <v>pmx</v>
      </c>
      <c r="G143" s="85" t="s">
        <v>260</v>
      </c>
      <c r="H143" s="85" t="s">
        <v>163</v>
      </c>
      <c r="I143" s="85" t="s">
        <v>261</v>
      </c>
      <c r="K143" s="86">
        <f t="shared" si="14"/>
        <v>2321.2243463114628</v>
      </c>
      <c r="M143" s="86">
        <v>2200</v>
      </c>
      <c r="Q143" s="85">
        <v>2321.2243463114628</v>
      </c>
    </row>
    <row r="144" spans="1:17" x14ac:dyDescent="0.3">
      <c r="A144" s="85">
        <v>5</v>
      </c>
      <c r="C144" s="85">
        <f t="shared" si="10"/>
        <v>28</v>
      </c>
      <c r="D144" s="85">
        <f t="shared" si="11"/>
        <v>28</v>
      </c>
      <c r="E144" s="85">
        <f t="shared" si="12"/>
        <v>14</v>
      </c>
      <c r="F144" s="85" t="str">
        <f t="shared" si="13"/>
        <v>pm</v>
      </c>
      <c r="G144" s="85" t="s">
        <v>250</v>
      </c>
      <c r="H144" s="85" t="s">
        <v>186</v>
      </c>
      <c r="I144" s="85" t="s">
        <v>665</v>
      </c>
      <c r="K144" s="86">
        <f t="shared" si="14"/>
        <v>2157.0688207251719</v>
      </c>
      <c r="M144" s="86">
        <v>2160</v>
      </c>
      <c r="P144" s="85">
        <v>2157.0688207251719</v>
      </c>
    </row>
    <row r="145" spans="1:18" x14ac:dyDescent="0.3">
      <c r="A145" s="85">
        <v>7</v>
      </c>
      <c r="C145" s="85">
        <f t="shared" si="10"/>
        <v>29</v>
      </c>
      <c r="D145" s="85">
        <f t="shared" si="11"/>
        <v>29</v>
      </c>
      <c r="E145" s="85">
        <f t="shared" si="12"/>
        <v>14</v>
      </c>
      <c r="F145" s="85" t="str">
        <f t="shared" si="13"/>
        <v>pm</v>
      </c>
      <c r="G145" s="85" t="s">
        <v>252</v>
      </c>
      <c r="H145" s="85" t="s">
        <v>186</v>
      </c>
      <c r="I145" s="85" t="s">
        <v>666</v>
      </c>
      <c r="K145" s="86">
        <f t="shared" si="14"/>
        <v>2080.9005449319152</v>
      </c>
      <c r="M145" s="86">
        <v>2142.8571428571427</v>
      </c>
      <c r="O145" s="85">
        <v>2124.8136406435256</v>
      </c>
      <c r="P145" s="85">
        <v>2119.2988049542182</v>
      </c>
      <c r="Q145" s="85">
        <v>2080.9005449319152</v>
      </c>
    </row>
    <row r="146" spans="1:18" x14ac:dyDescent="0.3">
      <c r="A146" s="85">
        <v>6</v>
      </c>
      <c r="C146" s="85">
        <f t="shared" si="10"/>
        <v>30</v>
      </c>
      <c r="D146" s="85">
        <f t="shared" si="11"/>
        <v>30</v>
      </c>
      <c r="E146" s="85">
        <f t="shared" si="12"/>
        <v>14</v>
      </c>
      <c r="F146" s="85" t="str">
        <f t="shared" si="13"/>
        <v>pm</v>
      </c>
      <c r="G146" s="85" t="s">
        <v>249</v>
      </c>
      <c r="H146" s="85" t="s">
        <v>177</v>
      </c>
      <c r="I146" s="85" t="s">
        <v>667</v>
      </c>
      <c r="K146" s="86">
        <f t="shared" si="14"/>
        <v>2050.4875131961689</v>
      </c>
      <c r="M146" s="86">
        <v>2133.3333333333335</v>
      </c>
      <c r="O146" s="85">
        <v>2123.8030060029546</v>
      </c>
      <c r="P146" s="85">
        <v>2028.2185977183215</v>
      </c>
      <c r="Q146" s="85">
        <v>2050.4875131961689</v>
      </c>
    </row>
    <row r="147" spans="1:18" x14ac:dyDescent="0.3">
      <c r="A147" s="85">
        <v>3</v>
      </c>
      <c r="C147" s="85">
        <f t="shared" si="10"/>
        <v>31</v>
      </c>
      <c r="D147" s="85">
        <f t="shared" si="11"/>
        <v>31</v>
      </c>
      <c r="E147" s="85">
        <f t="shared" si="12"/>
        <v>14</v>
      </c>
      <c r="F147" s="85" t="str">
        <f t="shared" si="13"/>
        <v>pm</v>
      </c>
      <c r="G147" s="85" t="s">
        <v>668</v>
      </c>
      <c r="H147" s="85" t="s">
        <v>145</v>
      </c>
      <c r="I147" s="85" t="s">
        <v>669</v>
      </c>
      <c r="K147" s="86">
        <f t="shared" si="14"/>
        <v>2197.4041119202066</v>
      </c>
      <c r="M147" s="86">
        <v>2133.3333333333335</v>
      </c>
      <c r="N147" s="85">
        <v>2197.4041119202066</v>
      </c>
    </row>
    <row r="148" spans="1:18" x14ac:dyDescent="0.3">
      <c r="A148" s="85">
        <v>6</v>
      </c>
      <c r="C148" s="85">
        <f t="shared" si="10"/>
        <v>32</v>
      </c>
      <c r="D148" s="85">
        <f t="shared" si="11"/>
        <v>32</v>
      </c>
      <c r="E148" s="85">
        <f t="shared" si="12"/>
        <v>14</v>
      </c>
      <c r="F148" s="85" t="str">
        <f t="shared" si="13"/>
        <v>pm</v>
      </c>
      <c r="G148" s="85" t="s">
        <v>251</v>
      </c>
      <c r="H148" s="85" t="s">
        <v>186</v>
      </c>
      <c r="I148" s="85" t="s">
        <v>670</v>
      </c>
      <c r="K148" s="86">
        <f t="shared" si="14"/>
        <v>2046.4945599612686</v>
      </c>
      <c r="M148" s="86">
        <v>2133.3333333333335</v>
      </c>
      <c r="O148" s="85">
        <v>2086.4490895334916</v>
      </c>
      <c r="Q148" s="85">
        <v>2046.4945599612686</v>
      </c>
    </row>
    <row r="149" spans="1:18" x14ac:dyDescent="0.3">
      <c r="A149" s="85">
        <v>4</v>
      </c>
      <c r="C149" s="85">
        <f t="shared" si="10"/>
        <v>33</v>
      </c>
      <c r="D149" s="85">
        <f t="shared" si="11"/>
        <v>33</v>
      </c>
      <c r="E149" s="85">
        <f t="shared" si="12"/>
        <v>14</v>
      </c>
      <c r="F149" s="85" t="str">
        <f t="shared" si="13"/>
        <v>pm</v>
      </c>
      <c r="G149" s="85" t="s">
        <v>275</v>
      </c>
      <c r="H149" s="85" t="s">
        <v>183</v>
      </c>
      <c r="I149" s="85" t="s">
        <v>671</v>
      </c>
      <c r="K149" s="86">
        <f t="shared" si="14"/>
        <v>2214.8101428000855</v>
      </c>
      <c r="M149" s="86">
        <v>2100</v>
      </c>
      <c r="N149" s="85">
        <v>2174.2197512125058</v>
      </c>
      <c r="P149" s="85">
        <v>2214.8101428000855</v>
      </c>
    </row>
    <row r="150" spans="1:18" x14ac:dyDescent="0.3">
      <c r="A150" s="85">
        <v>2</v>
      </c>
      <c r="C150" s="85">
        <f t="shared" si="10"/>
        <v>34</v>
      </c>
      <c r="D150" s="85">
        <f t="shared" si="11"/>
        <v>34</v>
      </c>
      <c r="E150" s="85">
        <f t="shared" si="12"/>
        <v>14</v>
      </c>
      <c r="F150" s="85" t="str">
        <f t="shared" si="13"/>
        <v>pm</v>
      </c>
      <c r="G150" s="85" t="s">
        <v>672</v>
      </c>
      <c r="H150" s="85" t="s">
        <v>497</v>
      </c>
      <c r="I150" s="85" t="s">
        <v>673</v>
      </c>
      <c r="K150" s="86">
        <f t="shared" si="14"/>
        <v>2082.0096454673176</v>
      </c>
      <c r="M150" s="86">
        <v>2000</v>
      </c>
      <c r="P150" s="85">
        <v>2049.1781545895406</v>
      </c>
      <c r="R150" s="85">
        <v>2082.0096454673176</v>
      </c>
    </row>
    <row r="151" spans="1:18" x14ac:dyDescent="0.3">
      <c r="A151" s="85">
        <v>2</v>
      </c>
      <c r="C151" s="85">
        <f t="shared" si="10"/>
        <v>35</v>
      </c>
      <c r="D151" s="85">
        <f t="shared" si="11"/>
        <v>35</v>
      </c>
      <c r="E151" s="85">
        <f t="shared" si="12"/>
        <v>14</v>
      </c>
      <c r="F151" s="85" t="str">
        <f t="shared" si="13"/>
        <v>pm</v>
      </c>
      <c r="G151" s="85" t="s">
        <v>674</v>
      </c>
      <c r="H151" s="85" t="s">
        <v>675</v>
      </c>
      <c r="I151" s="85" t="s">
        <v>676</v>
      </c>
      <c r="K151" s="86">
        <f t="shared" si="14"/>
        <v>1847.1241959091305</v>
      </c>
      <c r="M151" s="86">
        <v>2000</v>
      </c>
      <c r="P151" s="85">
        <v>1847.1241959091305</v>
      </c>
    </row>
    <row r="152" spans="1:18" x14ac:dyDescent="0.3">
      <c r="A152" s="85">
        <v>2</v>
      </c>
      <c r="C152" s="85">
        <f t="shared" si="10"/>
        <v>36</v>
      </c>
      <c r="D152" s="85">
        <f t="shared" si="11"/>
        <v>36</v>
      </c>
      <c r="E152" s="85">
        <f t="shared" si="12"/>
        <v>14</v>
      </c>
      <c r="F152" s="85" t="str">
        <f t="shared" si="13"/>
        <v>pm</v>
      </c>
      <c r="G152" s="85" t="s">
        <v>273</v>
      </c>
      <c r="H152" s="85" t="s">
        <v>159</v>
      </c>
      <c r="I152" s="85" t="s">
        <v>274</v>
      </c>
      <c r="K152" s="86">
        <f t="shared" si="14"/>
        <v>2000</v>
      </c>
      <c r="M152" s="86">
        <v>2000</v>
      </c>
    </row>
    <row r="153" spans="1:18" x14ac:dyDescent="0.3">
      <c r="A153" s="85">
        <v>2</v>
      </c>
      <c r="C153" s="85">
        <f t="shared" si="10"/>
        <v>37</v>
      </c>
      <c r="D153" s="85">
        <f t="shared" si="11"/>
        <v>37</v>
      </c>
      <c r="E153" s="85">
        <f t="shared" si="12"/>
        <v>14</v>
      </c>
      <c r="F153" s="85" t="str">
        <f t="shared" si="13"/>
        <v>cr</v>
      </c>
      <c r="G153" s="85" t="s">
        <v>439</v>
      </c>
      <c r="H153" s="85" t="s">
        <v>495</v>
      </c>
      <c r="I153" s="85" t="s">
        <v>677</v>
      </c>
      <c r="K153" s="86">
        <f t="shared" si="14"/>
        <v>2166.0105488436016</v>
      </c>
      <c r="M153" s="86">
        <v>2000</v>
      </c>
      <c r="O153" s="85">
        <v>2166.0105488436016</v>
      </c>
    </row>
    <row r="154" spans="1:18" x14ac:dyDescent="0.3">
      <c r="A154" s="85">
        <v>4</v>
      </c>
      <c r="C154" s="85">
        <f t="shared" si="10"/>
        <v>38</v>
      </c>
      <c r="D154" s="85">
        <f t="shared" si="11"/>
        <v>38</v>
      </c>
      <c r="E154" s="85">
        <f t="shared" si="12"/>
        <v>14</v>
      </c>
      <c r="F154" s="85" t="str">
        <f t="shared" si="13"/>
        <v>pm</v>
      </c>
      <c r="G154" s="85" t="s">
        <v>678</v>
      </c>
      <c r="H154" s="85" t="s">
        <v>679</v>
      </c>
      <c r="I154" s="85" t="s">
        <v>680</v>
      </c>
      <c r="K154" s="86">
        <f t="shared" si="14"/>
        <v>1885.7182609507843</v>
      </c>
      <c r="M154" s="86">
        <v>1900</v>
      </c>
      <c r="P154" s="85">
        <v>1885.7182609507843</v>
      </c>
    </row>
    <row r="155" spans="1:18" x14ac:dyDescent="0.3">
      <c r="A155" s="85">
        <v>2</v>
      </c>
      <c r="C155" s="85">
        <f t="shared" si="10"/>
        <v>39</v>
      </c>
      <c r="D155" s="85">
        <f t="shared" si="11"/>
        <v>39</v>
      </c>
      <c r="E155" s="85">
        <f t="shared" si="12"/>
        <v>14</v>
      </c>
      <c r="F155" s="85" t="str">
        <f t="shared" si="13"/>
        <v>so</v>
      </c>
      <c r="G155" s="85" t="s">
        <v>681</v>
      </c>
      <c r="H155" s="85" t="s">
        <v>588</v>
      </c>
      <c r="I155" s="85" t="s">
        <v>682</v>
      </c>
      <c r="K155" s="86">
        <f t="shared" si="14"/>
        <v>1971.8826744034932</v>
      </c>
      <c r="M155" s="86">
        <v>1900</v>
      </c>
      <c r="P155" s="85">
        <v>1971.8826744034932</v>
      </c>
    </row>
    <row r="156" spans="1:18" x14ac:dyDescent="0.3">
      <c r="A156" s="85">
        <v>5</v>
      </c>
      <c r="C156" s="85">
        <f t="shared" si="10"/>
        <v>40</v>
      </c>
      <c r="D156" s="85">
        <f t="shared" si="11"/>
        <v>40</v>
      </c>
      <c r="E156" s="85">
        <f t="shared" si="12"/>
        <v>14</v>
      </c>
      <c r="F156" s="85" t="str">
        <f t="shared" si="13"/>
        <v>pm</v>
      </c>
      <c r="G156" s="85" t="s">
        <v>683</v>
      </c>
      <c r="H156" s="85" t="s">
        <v>308</v>
      </c>
      <c r="I156" s="85" t="s">
        <v>684</v>
      </c>
      <c r="K156" s="86">
        <f t="shared" si="14"/>
        <v>1849.2539219698931</v>
      </c>
      <c r="M156" s="86">
        <v>1880</v>
      </c>
      <c r="P156" s="85">
        <v>1866.0217818946253</v>
      </c>
      <c r="R156" s="85">
        <v>1849.2539219698931</v>
      </c>
    </row>
    <row r="157" spans="1:18" x14ac:dyDescent="0.3">
      <c r="A157" s="85">
        <v>5</v>
      </c>
      <c r="C157" s="85">
        <f t="shared" si="10"/>
        <v>41</v>
      </c>
      <c r="D157" s="85">
        <f t="shared" si="11"/>
        <v>41</v>
      </c>
      <c r="E157" s="85">
        <f t="shared" si="12"/>
        <v>14</v>
      </c>
      <c r="F157" s="85" t="str">
        <f t="shared" si="13"/>
        <v>pm</v>
      </c>
      <c r="G157" s="85" t="s">
        <v>281</v>
      </c>
      <c r="H157" s="85" t="s">
        <v>549</v>
      </c>
      <c r="I157" s="85" t="s">
        <v>685</v>
      </c>
      <c r="K157" s="86">
        <f t="shared" si="14"/>
        <v>1847.1083510157146</v>
      </c>
      <c r="M157" s="86">
        <v>1880</v>
      </c>
      <c r="N157" s="85">
        <v>1847.1083510157146</v>
      </c>
    </row>
    <row r="158" spans="1:18" x14ac:dyDescent="0.3">
      <c r="A158" s="85">
        <v>3</v>
      </c>
      <c r="C158" s="85">
        <f t="shared" si="10"/>
        <v>42</v>
      </c>
      <c r="D158" s="85">
        <f t="shared" si="11"/>
        <v>42</v>
      </c>
      <c r="E158" s="85">
        <f t="shared" si="12"/>
        <v>14</v>
      </c>
      <c r="F158" s="85" t="str">
        <f t="shared" si="13"/>
        <v>pm</v>
      </c>
      <c r="G158" s="85" t="s">
        <v>279</v>
      </c>
      <c r="H158" s="85" t="s">
        <v>235</v>
      </c>
      <c r="I158" s="85" t="s">
        <v>280</v>
      </c>
      <c r="K158" s="86">
        <f t="shared" si="14"/>
        <v>1925.4284841677352</v>
      </c>
      <c r="M158" s="86">
        <v>1866.6666666666667</v>
      </c>
      <c r="P158" s="85">
        <v>1925.4284841677352</v>
      </c>
    </row>
    <row r="159" spans="1:18" x14ac:dyDescent="0.3">
      <c r="A159" s="85">
        <v>7</v>
      </c>
      <c r="C159" s="85">
        <f t="shared" si="10"/>
        <v>43</v>
      </c>
      <c r="D159" s="85">
        <f t="shared" si="11"/>
        <v>43</v>
      </c>
      <c r="E159" s="85">
        <f t="shared" si="12"/>
        <v>14</v>
      </c>
      <c r="F159" s="85" t="str">
        <f t="shared" si="13"/>
        <v>pm</v>
      </c>
      <c r="G159" s="85" t="s">
        <v>300</v>
      </c>
      <c r="H159" s="85" t="s">
        <v>167</v>
      </c>
      <c r="I159" s="85" t="s">
        <v>301</v>
      </c>
      <c r="K159" s="86">
        <f t="shared" si="14"/>
        <v>1744.9311551359685</v>
      </c>
      <c r="M159" s="86">
        <v>1857.1428571428571</v>
      </c>
      <c r="P159" s="85">
        <v>1762.9452068718263</v>
      </c>
      <c r="R159" s="85">
        <v>1744.9311551359685</v>
      </c>
    </row>
    <row r="160" spans="1:18" x14ac:dyDescent="0.3">
      <c r="A160" s="85">
        <v>5</v>
      </c>
      <c r="C160" s="85">
        <f t="shared" si="10"/>
        <v>44</v>
      </c>
      <c r="D160" s="85">
        <f t="shared" si="11"/>
        <v>44</v>
      </c>
      <c r="E160" s="85">
        <f t="shared" si="12"/>
        <v>14</v>
      </c>
      <c r="F160" s="85" t="str">
        <f t="shared" si="13"/>
        <v>pm</v>
      </c>
      <c r="G160" s="85" t="s">
        <v>307</v>
      </c>
      <c r="H160" s="85" t="s">
        <v>242</v>
      </c>
      <c r="I160" s="85" t="s">
        <v>686</v>
      </c>
      <c r="K160" s="86">
        <f t="shared" si="14"/>
        <v>1841.1200051186916</v>
      </c>
      <c r="M160" s="86">
        <v>1840</v>
      </c>
      <c r="P160" s="85">
        <v>1847.3357292555668</v>
      </c>
      <c r="R160" s="85">
        <v>1841.1200051186916</v>
      </c>
    </row>
    <row r="161" spans="1:18" x14ac:dyDescent="0.3">
      <c r="A161" s="85">
        <v>1</v>
      </c>
      <c r="C161" s="85">
        <f t="shared" si="10"/>
        <v>45</v>
      </c>
      <c r="D161" s="85">
        <f t="shared" si="11"/>
        <v>45</v>
      </c>
      <c r="E161" s="85">
        <f t="shared" si="12"/>
        <v>14</v>
      </c>
      <c r="F161" s="85" t="str">
        <f t="shared" si="13"/>
        <v>pmx</v>
      </c>
      <c r="G161" s="85" t="s">
        <v>687</v>
      </c>
      <c r="H161" s="85" t="s">
        <v>512</v>
      </c>
      <c r="I161" s="85" t="s">
        <v>688</v>
      </c>
      <c r="K161" s="86">
        <f t="shared" si="14"/>
        <v>1800</v>
      </c>
      <c r="M161" s="86">
        <v>1800</v>
      </c>
    </row>
    <row r="162" spans="1:18" x14ac:dyDescent="0.3">
      <c r="A162" s="85">
        <v>2</v>
      </c>
      <c r="C162" s="85">
        <f t="shared" si="10"/>
        <v>46</v>
      </c>
      <c r="D162" s="85">
        <f t="shared" si="11"/>
        <v>45</v>
      </c>
      <c r="E162" s="85">
        <f t="shared" si="12"/>
        <v>14</v>
      </c>
      <c r="F162" s="85" t="str">
        <f t="shared" si="13"/>
        <v>pm</v>
      </c>
      <c r="G162" s="85" t="s">
        <v>689</v>
      </c>
      <c r="H162" s="85" t="s">
        <v>515</v>
      </c>
      <c r="I162" s="85" t="s">
        <v>690</v>
      </c>
      <c r="K162" s="86">
        <f t="shared" si="14"/>
        <v>1800</v>
      </c>
      <c r="M162" s="86">
        <v>1800</v>
      </c>
    </row>
    <row r="163" spans="1:18" x14ac:dyDescent="0.3">
      <c r="A163" s="85">
        <v>6</v>
      </c>
      <c r="C163" s="85">
        <f t="shared" si="10"/>
        <v>47</v>
      </c>
      <c r="D163" s="85">
        <f t="shared" si="11"/>
        <v>47</v>
      </c>
      <c r="E163" s="85">
        <f t="shared" si="12"/>
        <v>14</v>
      </c>
      <c r="F163" s="85" t="str">
        <f t="shared" si="13"/>
        <v>pm</v>
      </c>
      <c r="G163" s="85" t="s">
        <v>691</v>
      </c>
      <c r="H163" s="85" t="s">
        <v>339</v>
      </c>
      <c r="I163" s="85" t="s">
        <v>692</v>
      </c>
      <c r="K163" s="86">
        <f t="shared" si="14"/>
        <v>1767.4262448973393</v>
      </c>
      <c r="M163" s="86">
        <v>1800</v>
      </c>
      <c r="N163" s="85">
        <v>1718.6611112438743</v>
      </c>
      <c r="P163" s="85">
        <v>1815.1521821289225</v>
      </c>
      <c r="R163" s="85">
        <v>1767.4262448973393</v>
      </c>
    </row>
    <row r="164" spans="1:18" x14ac:dyDescent="0.3">
      <c r="A164" s="85">
        <v>3</v>
      </c>
      <c r="C164" s="85">
        <f t="shared" si="10"/>
        <v>48</v>
      </c>
      <c r="D164" s="85">
        <f t="shared" si="11"/>
        <v>48</v>
      </c>
      <c r="E164" s="85">
        <f t="shared" si="12"/>
        <v>14</v>
      </c>
      <c r="F164" s="85" t="str">
        <f t="shared" si="13"/>
        <v>pm</v>
      </c>
      <c r="G164" s="85" t="s">
        <v>284</v>
      </c>
      <c r="H164" s="85" t="s">
        <v>144</v>
      </c>
      <c r="I164" s="85" t="s">
        <v>283</v>
      </c>
      <c r="K164" s="86">
        <f t="shared" si="14"/>
        <v>1833.0084799585911</v>
      </c>
      <c r="M164" s="86">
        <v>1800</v>
      </c>
      <c r="N164" s="85">
        <v>1778.3842920745774</v>
      </c>
      <c r="P164" s="85">
        <v>1833.0084799585911</v>
      </c>
    </row>
    <row r="165" spans="1:18" x14ac:dyDescent="0.3">
      <c r="A165" s="85">
        <v>3</v>
      </c>
      <c r="C165" s="85">
        <f t="shared" si="10"/>
        <v>49</v>
      </c>
      <c r="D165" s="85">
        <f t="shared" si="11"/>
        <v>49</v>
      </c>
      <c r="E165" s="85">
        <f t="shared" si="12"/>
        <v>14</v>
      </c>
      <c r="F165" s="85" t="str">
        <f t="shared" si="13"/>
        <v>pm</v>
      </c>
      <c r="G165" s="85" t="s">
        <v>286</v>
      </c>
      <c r="H165" s="85" t="s">
        <v>144</v>
      </c>
      <c r="I165" s="85" t="s">
        <v>285</v>
      </c>
      <c r="K165" s="86">
        <f t="shared" si="14"/>
        <v>1903.1265717512813</v>
      </c>
      <c r="M165" s="86">
        <v>1800</v>
      </c>
      <c r="N165" s="85">
        <v>1824.4592382938808</v>
      </c>
      <c r="P165" s="85">
        <v>1903.1265717512813</v>
      </c>
    </row>
    <row r="166" spans="1:18" x14ac:dyDescent="0.3">
      <c r="A166" s="85">
        <v>3</v>
      </c>
      <c r="C166" s="85">
        <f t="shared" si="10"/>
        <v>50</v>
      </c>
      <c r="D166" s="85">
        <f t="shared" si="11"/>
        <v>50</v>
      </c>
      <c r="E166" s="85">
        <f t="shared" si="12"/>
        <v>14</v>
      </c>
      <c r="F166" s="85" t="str">
        <f t="shared" si="13"/>
        <v>pm</v>
      </c>
      <c r="G166" s="85" t="s">
        <v>693</v>
      </c>
      <c r="H166" s="85" t="s">
        <v>144</v>
      </c>
      <c r="I166" s="85" t="s">
        <v>287</v>
      </c>
      <c r="K166" s="86">
        <f t="shared" si="14"/>
        <v>1753.2138579630362</v>
      </c>
      <c r="M166" s="86">
        <v>1800</v>
      </c>
      <c r="P166" s="85">
        <v>1753.2138579630362</v>
      </c>
    </row>
    <row r="167" spans="1:18" x14ac:dyDescent="0.3">
      <c r="A167" s="85">
        <v>3</v>
      </c>
      <c r="C167" s="85">
        <f t="shared" si="10"/>
        <v>51</v>
      </c>
      <c r="D167" s="85">
        <f t="shared" si="11"/>
        <v>51</v>
      </c>
      <c r="E167" s="85">
        <f t="shared" si="12"/>
        <v>14</v>
      </c>
      <c r="F167" s="85" t="str">
        <f t="shared" si="13"/>
        <v>pm</v>
      </c>
      <c r="G167" s="85" t="s">
        <v>694</v>
      </c>
      <c r="H167" s="85" t="s">
        <v>519</v>
      </c>
      <c r="I167" s="85" t="s">
        <v>695</v>
      </c>
      <c r="K167" s="86">
        <f t="shared" si="14"/>
        <v>1800</v>
      </c>
      <c r="M167" s="86">
        <v>1800</v>
      </c>
    </row>
    <row r="168" spans="1:18" x14ac:dyDescent="0.3">
      <c r="A168" s="85">
        <v>5</v>
      </c>
      <c r="C168" s="85">
        <f t="shared" si="10"/>
        <v>52</v>
      </c>
      <c r="D168" s="85">
        <f t="shared" si="11"/>
        <v>52</v>
      </c>
      <c r="E168" s="85">
        <f t="shared" si="12"/>
        <v>14</v>
      </c>
      <c r="F168" s="85" t="str">
        <f t="shared" si="13"/>
        <v>pm</v>
      </c>
      <c r="G168" s="85" t="s">
        <v>696</v>
      </c>
      <c r="H168" s="85" t="s">
        <v>175</v>
      </c>
      <c r="I168" s="85" t="s">
        <v>697</v>
      </c>
      <c r="K168" s="86">
        <f t="shared" si="14"/>
        <v>1891.9144582347276</v>
      </c>
      <c r="M168" s="86">
        <v>1800</v>
      </c>
      <c r="N168" s="85">
        <v>1889.3788535790063</v>
      </c>
      <c r="P168" s="85">
        <v>1891.9144582347276</v>
      </c>
    </row>
    <row r="169" spans="1:18" x14ac:dyDescent="0.3">
      <c r="A169" s="85">
        <v>4</v>
      </c>
      <c r="C169" s="85">
        <f t="shared" si="10"/>
        <v>53</v>
      </c>
      <c r="D169" s="85">
        <f t="shared" si="11"/>
        <v>53</v>
      </c>
      <c r="E169" s="85">
        <f t="shared" si="12"/>
        <v>14</v>
      </c>
      <c r="F169" s="85" t="str">
        <f t="shared" si="13"/>
        <v>pm</v>
      </c>
      <c r="G169" s="85" t="s">
        <v>698</v>
      </c>
      <c r="H169" s="85" t="s">
        <v>175</v>
      </c>
      <c r="I169" s="85" t="s">
        <v>699</v>
      </c>
      <c r="K169" s="86">
        <f t="shared" si="14"/>
        <v>1823.7998106301316</v>
      </c>
      <c r="M169" s="86">
        <v>1800</v>
      </c>
      <c r="P169" s="85">
        <v>1823.7998106301316</v>
      </c>
    </row>
    <row r="170" spans="1:18" x14ac:dyDescent="0.3">
      <c r="A170" s="85">
        <v>7</v>
      </c>
      <c r="C170" s="85">
        <f t="shared" si="10"/>
        <v>54</v>
      </c>
      <c r="D170" s="85">
        <f t="shared" si="11"/>
        <v>54</v>
      </c>
      <c r="E170" s="85">
        <f t="shared" si="12"/>
        <v>14</v>
      </c>
      <c r="F170" s="85" t="str">
        <f t="shared" si="13"/>
        <v>pm</v>
      </c>
      <c r="G170" s="85" t="s">
        <v>289</v>
      </c>
      <c r="H170" s="85" t="s">
        <v>177</v>
      </c>
      <c r="I170" s="85" t="s">
        <v>290</v>
      </c>
      <c r="K170" s="86">
        <f t="shared" si="14"/>
        <v>1780.7398745438431</v>
      </c>
      <c r="M170" s="86">
        <v>1800</v>
      </c>
      <c r="N170" s="85">
        <v>1721.4653216549868</v>
      </c>
      <c r="P170" s="85">
        <v>1752.8007396123487</v>
      </c>
      <c r="R170" s="85">
        <v>1780.7398745438431</v>
      </c>
    </row>
    <row r="171" spans="1:18" x14ac:dyDescent="0.3">
      <c r="A171" s="85">
        <v>7</v>
      </c>
      <c r="C171" s="85">
        <f t="shared" si="10"/>
        <v>55</v>
      </c>
      <c r="D171" s="85">
        <f t="shared" si="11"/>
        <v>55</v>
      </c>
      <c r="E171" s="85">
        <f t="shared" si="12"/>
        <v>14</v>
      </c>
      <c r="F171" s="85" t="str">
        <f t="shared" si="13"/>
        <v>pm</v>
      </c>
      <c r="G171" s="85" t="s">
        <v>291</v>
      </c>
      <c r="H171" s="85" t="s">
        <v>177</v>
      </c>
      <c r="I171" s="85" t="s">
        <v>292</v>
      </c>
      <c r="K171" s="86">
        <f t="shared" si="14"/>
        <v>1775.4017276902916</v>
      </c>
      <c r="M171" s="86">
        <v>1800</v>
      </c>
      <c r="N171" s="85">
        <v>1748.298089197034</v>
      </c>
      <c r="P171" s="85">
        <v>1741.8980944244274</v>
      </c>
      <c r="R171" s="85">
        <v>1775.4017276902916</v>
      </c>
    </row>
    <row r="172" spans="1:18" x14ac:dyDescent="0.3">
      <c r="A172" s="85">
        <v>4</v>
      </c>
      <c r="C172" s="85">
        <f t="shared" si="10"/>
        <v>56</v>
      </c>
      <c r="D172" s="85">
        <f t="shared" si="11"/>
        <v>56</v>
      </c>
      <c r="E172" s="85">
        <f t="shared" si="12"/>
        <v>14</v>
      </c>
      <c r="F172" s="85" t="str">
        <f t="shared" si="13"/>
        <v>pm</v>
      </c>
      <c r="G172" s="85" t="s">
        <v>293</v>
      </c>
      <c r="H172" s="85" t="s">
        <v>177</v>
      </c>
      <c r="I172" s="85" t="s">
        <v>294</v>
      </c>
      <c r="K172" s="86">
        <f t="shared" si="14"/>
        <v>1598.9501464948451</v>
      </c>
      <c r="M172" s="86">
        <v>1800</v>
      </c>
      <c r="P172" s="85">
        <v>1678.3981971538039</v>
      </c>
      <c r="R172" s="85">
        <v>1598.9501464948451</v>
      </c>
    </row>
    <row r="173" spans="1:18" x14ac:dyDescent="0.3">
      <c r="A173" s="85">
        <v>6</v>
      </c>
      <c r="C173" s="85">
        <f t="shared" si="10"/>
        <v>57</v>
      </c>
      <c r="D173" s="85">
        <f t="shared" si="11"/>
        <v>57</v>
      </c>
      <c r="E173" s="85">
        <f t="shared" si="12"/>
        <v>14</v>
      </c>
      <c r="F173" s="85" t="str">
        <f t="shared" si="13"/>
        <v>pm</v>
      </c>
      <c r="G173" s="85" t="s">
        <v>295</v>
      </c>
      <c r="H173" s="85" t="s">
        <v>526</v>
      </c>
      <c r="I173" s="85" t="s">
        <v>296</v>
      </c>
      <c r="K173" s="86">
        <f t="shared" si="14"/>
        <v>1706.694063736214</v>
      </c>
      <c r="M173" s="86">
        <v>1800</v>
      </c>
      <c r="P173" s="85">
        <v>1761.038353768434</v>
      </c>
      <c r="R173" s="85">
        <v>1706.694063736214</v>
      </c>
    </row>
    <row r="174" spans="1:18" x14ac:dyDescent="0.3">
      <c r="A174" s="85">
        <v>4</v>
      </c>
      <c r="C174" s="85">
        <f t="shared" si="10"/>
        <v>58</v>
      </c>
      <c r="D174" s="85">
        <f t="shared" si="11"/>
        <v>58</v>
      </c>
      <c r="E174" s="85">
        <f t="shared" si="12"/>
        <v>14</v>
      </c>
      <c r="F174" s="85" t="str">
        <f t="shared" si="13"/>
        <v>pm</v>
      </c>
      <c r="G174" s="85" t="s">
        <v>700</v>
      </c>
      <c r="H174" s="85" t="s">
        <v>145</v>
      </c>
      <c r="I174" s="85" t="s">
        <v>701</v>
      </c>
      <c r="K174" s="86">
        <f t="shared" si="14"/>
        <v>1806.8060957823827</v>
      </c>
      <c r="M174" s="86">
        <v>1800</v>
      </c>
      <c r="N174" s="85">
        <v>1730.7050678538524</v>
      </c>
      <c r="P174" s="85">
        <v>1784.1499381650262</v>
      </c>
      <c r="R174" s="85">
        <v>1806.8060957823827</v>
      </c>
    </row>
    <row r="175" spans="1:18" x14ac:dyDescent="0.3">
      <c r="A175" s="85">
        <v>4</v>
      </c>
      <c r="C175" s="85">
        <f t="shared" si="10"/>
        <v>59</v>
      </c>
      <c r="D175" s="85">
        <f t="shared" si="11"/>
        <v>59</v>
      </c>
      <c r="E175" s="85">
        <f t="shared" si="12"/>
        <v>14</v>
      </c>
      <c r="F175" s="85" t="str">
        <f t="shared" si="13"/>
        <v>pm</v>
      </c>
      <c r="G175" s="85" t="s">
        <v>297</v>
      </c>
      <c r="H175" s="85" t="s">
        <v>182</v>
      </c>
      <c r="I175" s="85" t="s">
        <v>702</v>
      </c>
      <c r="K175" s="86">
        <f t="shared" si="14"/>
        <v>1771.2669066403137</v>
      </c>
      <c r="M175" s="86">
        <v>1800</v>
      </c>
      <c r="N175" s="85">
        <v>1811.7997841538452</v>
      </c>
      <c r="R175" s="85">
        <v>1771.2669066403137</v>
      </c>
    </row>
    <row r="176" spans="1:18" x14ac:dyDescent="0.3">
      <c r="A176" s="85">
        <v>7</v>
      </c>
      <c r="C176" s="85">
        <f t="shared" si="10"/>
        <v>60</v>
      </c>
      <c r="D176" s="85">
        <f t="shared" si="11"/>
        <v>60</v>
      </c>
      <c r="E176" s="85">
        <f t="shared" si="12"/>
        <v>14</v>
      </c>
      <c r="F176" s="85" t="str">
        <f t="shared" si="13"/>
        <v>pm</v>
      </c>
      <c r="G176" s="85" t="s">
        <v>703</v>
      </c>
      <c r="H176" s="85" t="s">
        <v>342</v>
      </c>
      <c r="I176" s="85" t="s">
        <v>704</v>
      </c>
      <c r="K176" s="86">
        <f t="shared" si="14"/>
        <v>1570.785810097577</v>
      </c>
      <c r="M176" s="86">
        <v>1800</v>
      </c>
      <c r="N176" s="85">
        <v>1682.2582324305545</v>
      </c>
      <c r="P176" s="85">
        <v>1602.9288959944686</v>
      </c>
      <c r="R176" s="85">
        <v>1570.785810097577</v>
      </c>
    </row>
    <row r="177" spans="1:18" x14ac:dyDescent="0.3">
      <c r="A177" s="85">
        <v>6</v>
      </c>
      <c r="C177" s="85">
        <f t="shared" si="10"/>
        <v>61</v>
      </c>
      <c r="D177" s="85">
        <f t="shared" si="11"/>
        <v>61</v>
      </c>
      <c r="E177" s="85">
        <f t="shared" si="12"/>
        <v>14</v>
      </c>
      <c r="F177" s="85" t="str">
        <f t="shared" si="13"/>
        <v>pm</v>
      </c>
      <c r="G177" s="85" t="s">
        <v>298</v>
      </c>
      <c r="H177" s="85" t="s">
        <v>186</v>
      </c>
      <c r="I177" s="85" t="s">
        <v>705</v>
      </c>
      <c r="K177" s="86">
        <f t="shared" si="14"/>
        <v>1752.5004295235969</v>
      </c>
      <c r="M177" s="86">
        <v>1800</v>
      </c>
      <c r="P177" s="85">
        <v>1751.778292751929</v>
      </c>
      <c r="R177" s="85">
        <v>1752.5004295235969</v>
      </c>
    </row>
    <row r="178" spans="1:18" x14ac:dyDescent="0.3">
      <c r="A178" s="85">
        <v>6</v>
      </c>
      <c r="C178" s="85">
        <f t="shared" si="10"/>
        <v>62</v>
      </c>
      <c r="D178" s="85">
        <f t="shared" si="11"/>
        <v>62</v>
      </c>
      <c r="E178" s="85">
        <f t="shared" si="12"/>
        <v>14</v>
      </c>
      <c r="F178" s="85" t="str">
        <f t="shared" si="13"/>
        <v>pm</v>
      </c>
      <c r="G178" s="85" t="s">
        <v>253</v>
      </c>
      <c r="H178" s="85" t="s">
        <v>186</v>
      </c>
      <c r="I178" s="85" t="s">
        <v>706</v>
      </c>
      <c r="K178" s="86">
        <f t="shared" si="14"/>
        <v>1811.1527197160931</v>
      </c>
      <c r="M178" s="86">
        <v>1800</v>
      </c>
      <c r="P178" s="85">
        <v>1768.1399790988805</v>
      </c>
      <c r="R178" s="85">
        <v>1811.1527197160931</v>
      </c>
    </row>
    <row r="179" spans="1:18" x14ac:dyDescent="0.3">
      <c r="A179" s="85">
        <v>6</v>
      </c>
      <c r="C179" s="85">
        <f t="shared" si="10"/>
        <v>63</v>
      </c>
      <c r="D179" s="85">
        <f t="shared" si="11"/>
        <v>63</v>
      </c>
      <c r="E179" s="85">
        <f t="shared" si="12"/>
        <v>14</v>
      </c>
      <c r="F179" s="85" t="str">
        <f t="shared" si="13"/>
        <v>pm</v>
      </c>
      <c r="G179" s="85" t="s">
        <v>707</v>
      </c>
      <c r="H179" s="85" t="s">
        <v>186</v>
      </c>
      <c r="I179" s="85" t="s">
        <v>708</v>
      </c>
      <c r="K179" s="86">
        <f t="shared" si="14"/>
        <v>1702.6419240174203</v>
      </c>
      <c r="M179" s="86">
        <v>1800</v>
      </c>
      <c r="P179" s="85">
        <v>1745.9218651374065</v>
      </c>
      <c r="R179" s="85">
        <v>1702.6419240174203</v>
      </c>
    </row>
    <row r="180" spans="1:18" x14ac:dyDescent="0.3">
      <c r="A180" s="85">
        <v>4</v>
      </c>
      <c r="C180" s="85">
        <f t="shared" si="10"/>
        <v>64</v>
      </c>
      <c r="D180" s="85">
        <f t="shared" si="11"/>
        <v>64</v>
      </c>
      <c r="E180" s="85">
        <f t="shared" si="12"/>
        <v>14</v>
      </c>
      <c r="F180" s="85" t="str">
        <f t="shared" si="13"/>
        <v>pm</v>
      </c>
      <c r="G180" s="85" t="s">
        <v>255</v>
      </c>
      <c r="H180" s="85" t="s">
        <v>150</v>
      </c>
      <c r="I180" s="85" t="s">
        <v>256</v>
      </c>
      <c r="K180" s="86">
        <f t="shared" si="14"/>
        <v>1785.9136433535382</v>
      </c>
      <c r="M180" s="86">
        <v>1800</v>
      </c>
      <c r="R180" s="85">
        <v>1785.9136433535382</v>
      </c>
    </row>
    <row r="181" spans="1:18" x14ac:dyDescent="0.3">
      <c r="A181" s="85">
        <v>7</v>
      </c>
      <c r="C181" s="85">
        <f t="shared" si="10"/>
        <v>65</v>
      </c>
      <c r="D181" s="85">
        <f t="shared" si="11"/>
        <v>65</v>
      </c>
      <c r="E181" s="85">
        <f t="shared" si="12"/>
        <v>14</v>
      </c>
      <c r="F181" s="85" t="str">
        <f t="shared" si="13"/>
        <v>pm</v>
      </c>
      <c r="G181" s="85" t="s">
        <v>299</v>
      </c>
      <c r="H181" s="85" t="s">
        <v>153</v>
      </c>
      <c r="I181" s="85" t="s">
        <v>709</v>
      </c>
      <c r="K181" s="86">
        <f t="shared" si="14"/>
        <v>1938.161029583184</v>
      </c>
      <c r="M181" s="86">
        <v>1800</v>
      </c>
      <c r="N181" s="85">
        <v>1821.545773518581</v>
      </c>
      <c r="P181" s="85">
        <v>1887.3848284110888</v>
      </c>
      <c r="R181" s="85">
        <v>1938.161029583184</v>
      </c>
    </row>
    <row r="182" spans="1:18" x14ac:dyDescent="0.3">
      <c r="A182" s="85">
        <v>5</v>
      </c>
      <c r="C182" s="85">
        <f t="shared" si="10"/>
        <v>66</v>
      </c>
      <c r="D182" s="85">
        <f t="shared" si="11"/>
        <v>66</v>
      </c>
      <c r="E182" s="85">
        <f t="shared" si="12"/>
        <v>14</v>
      </c>
      <c r="F182" s="85" t="str">
        <f t="shared" si="13"/>
        <v>pm</v>
      </c>
      <c r="G182" s="85" t="s">
        <v>259</v>
      </c>
      <c r="H182" s="85" t="s">
        <v>258</v>
      </c>
      <c r="I182" s="85" t="s">
        <v>710</v>
      </c>
      <c r="K182" s="86">
        <f t="shared" si="14"/>
        <v>1692.7325724666443</v>
      </c>
      <c r="M182" s="86">
        <v>1800</v>
      </c>
      <c r="N182" s="85">
        <v>1732.6432403106687</v>
      </c>
      <c r="P182" s="85">
        <v>1728.6570245875689</v>
      </c>
      <c r="R182" s="85">
        <v>1692.7325724666443</v>
      </c>
    </row>
    <row r="183" spans="1:18" x14ac:dyDescent="0.3">
      <c r="A183" s="85">
        <v>2</v>
      </c>
      <c r="C183" s="85">
        <f t="shared" si="10"/>
        <v>67</v>
      </c>
      <c r="D183" s="85">
        <f t="shared" si="11"/>
        <v>67</v>
      </c>
      <c r="E183" s="85">
        <f t="shared" si="12"/>
        <v>14</v>
      </c>
      <c r="F183" s="85" t="str">
        <f t="shared" si="13"/>
        <v>pm</v>
      </c>
      <c r="G183" s="85" t="s">
        <v>272</v>
      </c>
      <c r="H183" s="85" t="s">
        <v>206</v>
      </c>
      <c r="I183" s="85" t="s">
        <v>711</v>
      </c>
      <c r="K183" s="86">
        <f t="shared" si="14"/>
        <v>1766.0279354837069</v>
      </c>
      <c r="M183" s="86">
        <v>1800</v>
      </c>
      <c r="P183" s="85">
        <v>1766.0279354837069</v>
      </c>
    </row>
    <row r="184" spans="1:18" x14ac:dyDescent="0.3">
      <c r="A184" s="85">
        <v>2</v>
      </c>
      <c r="C184" s="85">
        <f t="shared" si="10"/>
        <v>68</v>
      </c>
      <c r="D184" s="85">
        <f t="shared" si="11"/>
        <v>68</v>
      </c>
      <c r="E184" s="85">
        <f t="shared" si="12"/>
        <v>14</v>
      </c>
      <c r="F184" s="85" t="str">
        <f t="shared" si="13"/>
        <v>pm</v>
      </c>
      <c r="G184" s="85" t="s">
        <v>712</v>
      </c>
      <c r="H184" s="85" t="s">
        <v>206</v>
      </c>
      <c r="I184" s="85" t="s">
        <v>713</v>
      </c>
      <c r="K184" s="86">
        <f t="shared" si="14"/>
        <v>1810.2573586424166</v>
      </c>
      <c r="M184" s="86">
        <v>1800</v>
      </c>
      <c r="P184" s="85">
        <v>1810.2573586424166</v>
      </c>
    </row>
    <row r="185" spans="1:18" x14ac:dyDescent="0.3">
      <c r="A185" s="85">
        <v>6</v>
      </c>
      <c r="C185" s="85">
        <f t="shared" si="10"/>
        <v>69</v>
      </c>
      <c r="D185" s="85">
        <f t="shared" si="11"/>
        <v>69</v>
      </c>
      <c r="E185" s="85">
        <f t="shared" si="12"/>
        <v>14</v>
      </c>
      <c r="F185" s="85" t="str">
        <f t="shared" si="13"/>
        <v>pm</v>
      </c>
      <c r="G185" s="85" t="s">
        <v>303</v>
      </c>
      <c r="H185" s="85" t="s">
        <v>562</v>
      </c>
      <c r="I185" s="85" t="s">
        <v>304</v>
      </c>
      <c r="K185" s="86">
        <f t="shared" si="14"/>
        <v>1995.5262938549226</v>
      </c>
      <c r="M185" s="86">
        <v>1800</v>
      </c>
      <c r="N185" s="85">
        <v>1880.956617928209</v>
      </c>
      <c r="P185" s="85">
        <v>1962.7409125642057</v>
      </c>
      <c r="R185" s="85">
        <v>1995.5262938549226</v>
      </c>
    </row>
    <row r="186" spans="1:18" x14ac:dyDescent="0.3">
      <c r="A186" s="85">
        <v>4</v>
      </c>
      <c r="C186" s="85">
        <f t="shared" si="10"/>
        <v>70</v>
      </c>
      <c r="D186" s="85">
        <f t="shared" si="11"/>
        <v>70</v>
      </c>
      <c r="E186" s="85">
        <f t="shared" si="12"/>
        <v>14</v>
      </c>
      <c r="F186" s="85" t="str">
        <f t="shared" si="13"/>
        <v>pm</v>
      </c>
      <c r="G186" s="85" t="s">
        <v>305</v>
      </c>
      <c r="H186" s="85" t="s">
        <v>562</v>
      </c>
      <c r="I186" s="85" t="s">
        <v>306</v>
      </c>
      <c r="K186" s="86">
        <f t="shared" si="14"/>
        <v>1808.9514445376726</v>
      </c>
      <c r="M186" s="86">
        <v>1800</v>
      </c>
      <c r="P186" s="85">
        <v>1830.0459906244043</v>
      </c>
      <c r="R186" s="85">
        <v>1808.9514445376726</v>
      </c>
    </row>
    <row r="187" spans="1:18" x14ac:dyDescent="0.3">
      <c r="A187" s="85">
        <v>1</v>
      </c>
      <c r="C187" s="85">
        <f t="shared" si="10"/>
        <v>71</v>
      </c>
      <c r="D187" s="85">
        <f t="shared" si="11"/>
        <v>71</v>
      </c>
      <c r="E187" s="85">
        <f t="shared" si="12"/>
        <v>14</v>
      </c>
      <c r="F187" s="85" t="str">
        <f t="shared" si="13"/>
        <v>pmx</v>
      </c>
      <c r="G187" s="85" t="s">
        <v>714</v>
      </c>
      <c r="H187" s="85" t="s">
        <v>159</v>
      </c>
      <c r="I187" s="85" t="s">
        <v>715</v>
      </c>
      <c r="K187" s="86">
        <f t="shared" si="14"/>
        <v>1800</v>
      </c>
      <c r="M187" s="86">
        <v>1800</v>
      </c>
    </row>
    <row r="188" spans="1:18" x14ac:dyDescent="0.3">
      <c r="A188" s="85">
        <v>1</v>
      </c>
      <c r="C188" s="85">
        <f t="shared" si="10"/>
        <v>72</v>
      </c>
      <c r="D188" s="85">
        <f t="shared" si="11"/>
        <v>72</v>
      </c>
      <c r="E188" s="85">
        <f t="shared" si="12"/>
        <v>14</v>
      </c>
      <c r="F188" s="85" t="str">
        <f t="shared" si="13"/>
        <v>crx</v>
      </c>
      <c r="G188" s="85" t="s">
        <v>716</v>
      </c>
      <c r="H188" s="85" t="s">
        <v>717</v>
      </c>
      <c r="I188" s="85" t="s">
        <v>718</v>
      </c>
      <c r="K188" s="86">
        <f t="shared" si="14"/>
        <v>1886.3108315496688</v>
      </c>
      <c r="M188" s="86">
        <v>1800</v>
      </c>
      <c r="N188" s="85">
        <v>1886.3108315496688</v>
      </c>
    </row>
    <row r="189" spans="1:18" x14ac:dyDescent="0.3">
      <c r="A189" s="85">
        <v>3</v>
      </c>
      <c r="C189" s="85">
        <f t="shared" si="10"/>
        <v>73</v>
      </c>
      <c r="D189" s="85">
        <f t="shared" si="11"/>
        <v>73</v>
      </c>
      <c r="E189" s="85">
        <f t="shared" si="12"/>
        <v>14</v>
      </c>
      <c r="F189" s="85" t="str">
        <f t="shared" si="13"/>
        <v>cr</v>
      </c>
      <c r="G189" s="85" t="s">
        <v>437</v>
      </c>
      <c r="H189" s="85" t="s">
        <v>495</v>
      </c>
      <c r="I189" s="85" t="s">
        <v>438</v>
      </c>
      <c r="K189" s="86">
        <f t="shared" si="14"/>
        <v>1830.8290630777483</v>
      </c>
      <c r="M189" s="86">
        <v>1800</v>
      </c>
      <c r="P189" s="85">
        <v>1830.8290630777483</v>
      </c>
    </row>
    <row r="190" spans="1:18" x14ac:dyDescent="0.3">
      <c r="A190" s="85">
        <v>3</v>
      </c>
      <c r="C190" s="85">
        <f t="shared" si="10"/>
        <v>74</v>
      </c>
      <c r="D190" s="85">
        <f t="shared" si="11"/>
        <v>74</v>
      </c>
      <c r="E190" s="85">
        <f t="shared" si="12"/>
        <v>14</v>
      </c>
      <c r="F190" s="85" t="str">
        <f t="shared" si="13"/>
        <v>cr</v>
      </c>
      <c r="G190" s="85" t="s">
        <v>719</v>
      </c>
      <c r="H190" s="85" t="s">
        <v>495</v>
      </c>
      <c r="I190" s="85" t="s">
        <v>720</v>
      </c>
      <c r="K190" s="86">
        <f t="shared" si="14"/>
        <v>1771.2603191576552</v>
      </c>
      <c r="M190" s="86">
        <v>1800</v>
      </c>
      <c r="P190" s="85">
        <v>1771.2603191576552</v>
      </c>
    </row>
    <row r="191" spans="1:18" x14ac:dyDescent="0.3">
      <c r="A191" s="85">
        <v>2</v>
      </c>
      <c r="C191" s="85">
        <f t="shared" si="10"/>
        <v>75</v>
      </c>
      <c r="D191" s="85">
        <f t="shared" si="11"/>
        <v>75</v>
      </c>
      <c r="E191" s="85">
        <f t="shared" si="12"/>
        <v>14</v>
      </c>
      <c r="F191" s="85" t="str">
        <f t="shared" si="13"/>
        <v>cr</v>
      </c>
      <c r="G191" s="85" t="s">
        <v>721</v>
      </c>
      <c r="H191" s="85" t="s">
        <v>722</v>
      </c>
      <c r="I191" s="85" t="s">
        <v>723</v>
      </c>
      <c r="K191" s="86">
        <f t="shared" si="14"/>
        <v>1800</v>
      </c>
      <c r="M191" s="86">
        <v>1800</v>
      </c>
    </row>
    <row r="192" spans="1:18" x14ac:dyDescent="0.3">
      <c r="A192" s="85">
        <v>1</v>
      </c>
      <c r="C192" s="85">
        <f t="shared" si="10"/>
        <v>76</v>
      </c>
      <c r="D192" s="85">
        <f t="shared" si="11"/>
        <v>76</v>
      </c>
      <c r="E192" s="85">
        <f t="shared" si="12"/>
        <v>14</v>
      </c>
      <c r="F192" s="85" t="str">
        <f t="shared" si="13"/>
        <v>crx</v>
      </c>
      <c r="G192" s="85" t="s">
        <v>724</v>
      </c>
      <c r="H192" s="85" t="s">
        <v>546</v>
      </c>
      <c r="I192" s="85" t="s">
        <v>725</v>
      </c>
      <c r="K192" s="86">
        <f t="shared" si="14"/>
        <v>1860.5893791805602</v>
      </c>
      <c r="M192" s="86">
        <v>1800</v>
      </c>
      <c r="P192" s="85">
        <v>1860.5893791805602</v>
      </c>
    </row>
    <row r="193" spans="1:18" x14ac:dyDescent="0.3">
      <c r="A193" s="85">
        <v>1</v>
      </c>
      <c r="C193" s="85">
        <f t="shared" si="10"/>
        <v>77</v>
      </c>
      <c r="D193" s="85">
        <f t="shared" si="11"/>
        <v>77</v>
      </c>
      <c r="E193" s="85">
        <f t="shared" si="12"/>
        <v>14</v>
      </c>
      <c r="F193" s="85" t="str">
        <f t="shared" si="13"/>
        <v>crx</v>
      </c>
      <c r="G193" s="85" t="s">
        <v>726</v>
      </c>
      <c r="H193" s="85" t="s">
        <v>546</v>
      </c>
      <c r="I193" s="85" t="s">
        <v>727</v>
      </c>
      <c r="K193" s="86">
        <f t="shared" si="14"/>
        <v>1713.778127804924</v>
      </c>
      <c r="M193" s="86">
        <v>1800</v>
      </c>
      <c r="P193" s="85">
        <v>1713.778127804924</v>
      </c>
    </row>
    <row r="194" spans="1:18" x14ac:dyDescent="0.3">
      <c r="A194" s="85">
        <v>3</v>
      </c>
      <c r="C194" s="85">
        <f t="shared" ref="C194:C257" si="15">IF(E194=E193,C193+1,1)</f>
        <v>78</v>
      </c>
      <c r="D194" s="85">
        <f t="shared" ref="D194:D257" si="16">IF(K194=K193,D193,C194)</f>
        <v>78</v>
      </c>
      <c r="E194" s="85">
        <f t="shared" ref="E194:E257" si="17">10+VALUE(RIGHT(LEFT(G194,3),1))</f>
        <v>14</v>
      </c>
      <c r="F194" s="85" t="str">
        <f t="shared" ref="F194:F257" si="18">RIGHT(G194,2) &amp; IF(A194&lt;2,"x","")</f>
        <v>cr</v>
      </c>
      <c r="G194" s="85" t="s">
        <v>728</v>
      </c>
      <c r="H194" s="85" t="s">
        <v>729</v>
      </c>
      <c r="I194" s="85" t="s">
        <v>730</v>
      </c>
      <c r="K194" s="86">
        <f t="shared" ref="K194:K257" si="19">LOOKUP(1E+100,M194:AB194)</f>
        <v>1914.3121448868815</v>
      </c>
      <c r="M194" s="86">
        <v>1800</v>
      </c>
      <c r="P194" s="85">
        <v>1914.3121448868815</v>
      </c>
    </row>
    <row r="195" spans="1:18" x14ac:dyDescent="0.3">
      <c r="A195" s="85">
        <v>3</v>
      </c>
      <c r="C195" s="85">
        <f t="shared" si="15"/>
        <v>79</v>
      </c>
      <c r="D195" s="85">
        <f t="shared" si="16"/>
        <v>79</v>
      </c>
      <c r="E195" s="85">
        <f t="shared" si="17"/>
        <v>14</v>
      </c>
      <c r="F195" s="85" t="str">
        <f t="shared" si="18"/>
        <v>cr</v>
      </c>
      <c r="G195" s="85" t="s">
        <v>731</v>
      </c>
      <c r="H195" s="85" t="s">
        <v>628</v>
      </c>
      <c r="I195" s="85" t="s">
        <v>732</v>
      </c>
      <c r="K195" s="86">
        <f t="shared" si="19"/>
        <v>1727.6850568077496</v>
      </c>
      <c r="M195" s="86">
        <v>1800</v>
      </c>
      <c r="R195" s="85">
        <v>1727.6850568077496</v>
      </c>
    </row>
    <row r="196" spans="1:18" x14ac:dyDescent="0.3">
      <c r="A196" s="85">
        <v>2</v>
      </c>
      <c r="C196" s="85">
        <f t="shared" si="15"/>
        <v>80</v>
      </c>
      <c r="D196" s="85">
        <f t="shared" si="16"/>
        <v>80</v>
      </c>
      <c r="E196" s="85">
        <f t="shared" si="17"/>
        <v>14</v>
      </c>
      <c r="F196" s="85" t="str">
        <f t="shared" si="18"/>
        <v>cr</v>
      </c>
      <c r="G196" s="85" t="s">
        <v>733</v>
      </c>
      <c r="H196" s="85" t="s">
        <v>734</v>
      </c>
      <c r="I196" s="85" t="s">
        <v>735</v>
      </c>
      <c r="K196" s="86">
        <f t="shared" si="19"/>
        <v>1909.034614925085</v>
      </c>
      <c r="M196" s="86">
        <v>1800</v>
      </c>
      <c r="R196" s="85">
        <v>1909.034614925085</v>
      </c>
    </row>
    <row r="197" spans="1:18" x14ac:dyDescent="0.3">
      <c r="A197" s="85">
        <v>2</v>
      </c>
      <c r="C197" s="85">
        <f t="shared" si="15"/>
        <v>81</v>
      </c>
      <c r="D197" s="85">
        <f t="shared" si="16"/>
        <v>81</v>
      </c>
      <c r="E197" s="85">
        <f t="shared" si="17"/>
        <v>14</v>
      </c>
      <c r="F197" s="85" t="str">
        <f t="shared" si="18"/>
        <v>cr</v>
      </c>
      <c r="G197" s="85" t="s">
        <v>736</v>
      </c>
      <c r="H197" s="85" t="s">
        <v>734</v>
      </c>
      <c r="I197" s="85" t="s">
        <v>737</v>
      </c>
      <c r="K197" s="86">
        <f t="shared" si="19"/>
        <v>1896.4875389308431</v>
      </c>
      <c r="M197" s="86">
        <v>1800</v>
      </c>
      <c r="R197" s="85">
        <v>1896.4875389308431</v>
      </c>
    </row>
    <row r="198" spans="1:18" x14ac:dyDescent="0.3">
      <c r="A198" s="85">
        <v>1</v>
      </c>
      <c r="C198" s="85">
        <f t="shared" si="15"/>
        <v>82</v>
      </c>
      <c r="D198" s="85">
        <f t="shared" si="16"/>
        <v>82</v>
      </c>
      <c r="E198" s="85">
        <f t="shared" si="17"/>
        <v>14</v>
      </c>
      <c r="F198" s="85" t="str">
        <f t="shared" si="18"/>
        <v>crx</v>
      </c>
      <c r="G198" s="85" t="s">
        <v>738</v>
      </c>
      <c r="H198" s="85" t="s">
        <v>739</v>
      </c>
      <c r="I198" s="85" t="s">
        <v>740</v>
      </c>
      <c r="K198" s="86">
        <f t="shared" si="19"/>
        <v>1800</v>
      </c>
      <c r="M198" s="86">
        <v>1800</v>
      </c>
    </row>
    <row r="199" spans="1:18" x14ac:dyDescent="0.3">
      <c r="A199" s="85">
        <v>1</v>
      </c>
      <c r="C199" s="85">
        <f t="shared" si="15"/>
        <v>83</v>
      </c>
      <c r="D199" s="85">
        <f t="shared" si="16"/>
        <v>82</v>
      </c>
      <c r="E199" s="85">
        <f t="shared" si="17"/>
        <v>14</v>
      </c>
      <c r="F199" s="85" t="str">
        <f t="shared" si="18"/>
        <v>sox</v>
      </c>
      <c r="G199" s="85" t="s">
        <v>741</v>
      </c>
      <c r="H199" s="85" t="s">
        <v>582</v>
      </c>
      <c r="I199" s="85" t="s">
        <v>742</v>
      </c>
      <c r="K199" s="86">
        <f t="shared" si="19"/>
        <v>1800</v>
      </c>
      <c r="M199" s="86">
        <v>1800</v>
      </c>
    </row>
    <row r="200" spans="1:18" x14ac:dyDescent="0.3">
      <c r="A200" s="85">
        <v>1</v>
      </c>
      <c r="C200" s="85">
        <f t="shared" si="15"/>
        <v>84</v>
      </c>
      <c r="D200" s="85">
        <f t="shared" si="16"/>
        <v>82</v>
      </c>
      <c r="E200" s="85">
        <f t="shared" si="17"/>
        <v>14</v>
      </c>
      <c r="F200" s="85" t="str">
        <f t="shared" si="18"/>
        <v>sox</v>
      </c>
      <c r="G200" s="85" t="s">
        <v>743</v>
      </c>
      <c r="H200" s="85" t="s">
        <v>582</v>
      </c>
      <c r="I200" s="85" t="s">
        <v>744</v>
      </c>
      <c r="K200" s="86">
        <f t="shared" si="19"/>
        <v>1800</v>
      </c>
      <c r="M200" s="86">
        <v>1800</v>
      </c>
    </row>
    <row r="201" spans="1:18" x14ac:dyDescent="0.3">
      <c r="A201" s="85">
        <v>1</v>
      </c>
      <c r="C201" s="85">
        <f t="shared" si="15"/>
        <v>85</v>
      </c>
      <c r="D201" s="85">
        <f t="shared" si="16"/>
        <v>82</v>
      </c>
      <c r="E201" s="85">
        <f t="shared" si="17"/>
        <v>14</v>
      </c>
      <c r="F201" s="85" t="str">
        <f t="shared" si="18"/>
        <v>sox</v>
      </c>
      <c r="G201" s="85" t="s">
        <v>745</v>
      </c>
      <c r="H201" s="85" t="s">
        <v>746</v>
      </c>
      <c r="I201" s="85" t="s">
        <v>747</v>
      </c>
      <c r="K201" s="86">
        <f t="shared" si="19"/>
        <v>1800</v>
      </c>
      <c r="M201" s="86">
        <v>1800</v>
      </c>
    </row>
    <row r="202" spans="1:18" x14ac:dyDescent="0.3">
      <c r="A202" s="85">
        <v>2</v>
      </c>
      <c r="C202" s="85">
        <f t="shared" si="15"/>
        <v>1</v>
      </c>
      <c r="D202" s="85">
        <f t="shared" si="16"/>
        <v>1</v>
      </c>
      <c r="E202" s="85">
        <f t="shared" si="17"/>
        <v>15</v>
      </c>
      <c r="F202" s="85" t="str">
        <f t="shared" si="18"/>
        <v>pm</v>
      </c>
      <c r="G202" s="85" t="s">
        <v>309</v>
      </c>
      <c r="H202" s="85" t="s">
        <v>144</v>
      </c>
      <c r="I202" s="85" t="s">
        <v>310</v>
      </c>
      <c r="K202" s="86">
        <f t="shared" si="19"/>
        <v>2484.3590950265307</v>
      </c>
      <c r="M202" s="86">
        <v>2400</v>
      </c>
      <c r="Q202" s="85">
        <v>2484.3590950265307</v>
      </c>
    </row>
    <row r="203" spans="1:18" x14ac:dyDescent="0.3">
      <c r="A203" s="85">
        <v>4</v>
      </c>
      <c r="C203" s="85">
        <f t="shared" si="15"/>
        <v>2</v>
      </c>
      <c r="D203" s="85">
        <f t="shared" si="16"/>
        <v>2</v>
      </c>
      <c r="E203" s="85">
        <f t="shared" si="17"/>
        <v>15</v>
      </c>
      <c r="F203" s="85" t="str">
        <f t="shared" si="18"/>
        <v>pm</v>
      </c>
      <c r="G203" s="85" t="s">
        <v>311</v>
      </c>
      <c r="H203" s="85" t="s">
        <v>144</v>
      </c>
      <c r="I203" s="85" t="s">
        <v>312</v>
      </c>
      <c r="K203" s="86">
        <f t="shared" si="19"/>
        <v>2441.2340844359674</v>
      </c>
      <c r="M203" s="86">
        <v>2400</v>
      </c>
      <c r="P203" s="85">
        <v>2441.2340844359674</v>
      </c>
    </row>
    <row r="204" spans="1:18" x14ac:dyDescent="0.3">
      <c r="A204" s="85">
        <v>4</v>
      </c>
      <c r="C204" s="85">
        <f t="shared" si="15"/>
        <v>3</v>
      </c>
      <c r="D204" s="85">
        <f t="shared" si="16"/>
        <v>3</v>
      </c>
      <c r="E204" s="85">
        <f t="shared" si="17"/>
        <v>15</v>
      </c>
      <c r="F204" s="85" t="str">
        <f t="shared" si="18"/>
        <v>pm</v>
      </c>
      <c r="G204" s="85" t="s">
        <v>313</v>
      </c>
      <c r="H204" s="85" t="s">
        <v>144</v>
      </c>
      <c r="I204" s="85" t="s">
        <v>314</v>
      </c>
      <c r="K204" s="86">
        <f t="shared" si="19"/>
        <v>2336.1202937617072</v>
      </c>
      <c r="M204" s="86">
        <v>2400</v>
      </c>
      <c r="P204" s="85">
        <v>2336.1202937617072</v>
      </c>
    </row>
    <row r="205" spans="1:18" x14ac:dyDescent="0.3">
      <c r="A205" s="85">
        <v>3</v>
      </c>
      <c r="C205" s="85">
        <f t="shared" si="15"/>
        <v>4</v>
      </c>
      <c r="D205" s="85">
        <f t="shared" si="16"/>
        <v>4</v>
      </c>
      <c r="E205" s="85">
        <f t="shared" si="17"/>
        <v>15</v>
      </c>
      <c r="F205" s="85" t="str">
        <f t="shared" si="18"/>
        <v>pm</v>
      </c>
      <c r="G205" s="85" t="s">
        <v>748</v>
      </c>
      <c r="H205" s="85" t="s">
        <v>175</v>
      </c>
      <c r="I205" s="85" t="s">
        <v>749</v>
      </c>
      <c r="K205" s="86">
        <f t="shared" si="19"/>
        <v>2381.8589517504856</v>
      </c>
      <c r="M205" s="86">
        <v>2400</v>
      </c>
      <c r="O205" s="85">
        <v>2467.3184086886131</v>
      </c>
      <c r="P205" s="85">
        <v>2381.8589517504856</v>
      </c>
    </row>
    <row r="206" spans="1:18" x14ac:dyDescent="0.3">
      <c r="A206" s="85">
        <v>2</v>
      </c>
      <c r="C206" s="85">
        <f t="shared" si="15"/>
        <v>5</v>
      </c>
      <c r="D206" s="85">
        <f t="shared" si="16"/>
        <v>5</v>
      </c>
      <c r="E206" s="85">
        <f t="shared" si="17"/>
        <v>15</v>
      </c>
      <c r="F206" s="85" t="str">
        <f t="shared" si="18"/>
        <v>pm</v>
      </c>
      <c r="G206" s="85" t="s">
        <v>750</v>
      </c>
      <c r="H206" s="85" t="s">
        <v>175</v>
      </c>
      <c r="I206" s="85" t="s">
        <v>751</v>
      </c>
      <c r="K206" s="86">
        <f t="shared" si="19"/>
        <v>2417.874790352118</v>
      </c>
      <c r="M206" s="86">
        <v>2400</v>
      </c>
      <c r="P206" s="85">
        <v>2417.874790352118</v>
      </c>
    </row>
    <row r="207" spans="1:18" x14ac:dyDescent="0.3">
      <c r="A207" s="85">
        <v>5</v>
      </c>
      <c r="C207" s="85">
        <f t="shared" si="15"/>
        <v>6</v>
      </c>
      <c r="D207" s="85">
        <f t="shared" si="16"/>
        <v>6</v>
      </c>
      <c r="E207" s="85">
        <f t="shared" si="17"/>
        <v>15</v>
      </c>
      <c r="F207" s="85" t="str">
        <f t="shared" si="18"/>
        <v>pm</v>
      </c>
      <c r="G207" s="85" t="s">
        <v>316</v>
      </c>
      <c r="H207" s="85" t="s">
        <v>177</v>
      </c>
      <c r="I207" s="85" t="s">
        <v>317</v>
      </c>
      <c r="K207" s="86">
        <f t="shared" si="19"/>
        <v>2488.6021924687675</v>
      </c>
      <c r="M207" s="86">
        <v>2400</v>
      </c>
      <c r="P207" s="85">
        <v>2471.4438748412722</v>
      </c>
      <c r="Q207" s="85">
        <v>2488.6021924687675</v>
      </c>
    </row>
    <row r="208" spans="1:18" x14ac:dyDescent="0.3">
      <c r="A208" s="85">
        <v>6</v>
      </c>
      <c r="C208" s="85">
        <f t="shared" si="15"/>
        <v>7</v>
      </c>
      <c r="D208" s="85">
        <f t="shared" si="16"/>
        <v>7</v>
      </c>
      <c r="E208" s="85">
        <f t="shared" si="17"/>
        <v>15</v>
      </c>
      <c r="F208" s="85" t="str">
        <f t="shared" si="18"/>
        <v>pm</v>
      </c>
      <c r="G208" s="85" t="s">
        <v>332</v>
      </c>
      <c r="H208" s="85" t="s">
        <v>177</v>
      </c>
      <c r="I208" s="85" t="s">
        <v>333</v>
      </c>
      <c r="K208" s="86">
        <f t="shared" si="19"/>
        <v>2324.3104703248537</v>
      </c>
      <c r="M208" s="86">
        <v>2400</v>
      </c>
      <c r="O208" s="85">
        <v>2441.8185825032424</v>
      </c>
      <c r="P208" s="85">
        <v>2351.0458116269024</v>
      </c>
      <c r="Q208" s="85">
        <v>2324.3104703248537</v>
      </c>
    </row>
    <row r="209" spans="1:17" x14ac:dyDescent="0.3">
      <c r="A209" s="85">
        <v>3</v>
      </c>
      <c r="C209" s="85">
        <f t="shared" si="15"/>
        <v>8</v>
      </c>
      <c r="D209" s="85">
        <f t="shared" si="16"/>
        <v>8</v>
      </c>
      <c r="E209" s="85">
        <f t="shared" si="17"/>
        <v>15</v>
      </c>
      <c r="F209" s="85" t="str">
        <f t="shared" si="18"/>
        <v>pm</v>
      </c>
      <c r="G209" s="85" t="s">
        <v>318</v>
      </c>
      <c r="H209" s="85" t="s">
        <v>186</v>
      </c>
      <c r="I209" s="85" t="s">
        <v>752</v>
      </c>
      <c r="K209" s="86">
        <f t="shared" si="19"/>
        <v>2400</v>
      </c>
      <c r="M209" s="86">
        <v>2400</v>
      </c>
    </row>
    <row r="210" spans="1:17" x14ac:dyDescent="0.3">
      <c r="A210" s="85">
        <v>3</v>
      </c>
      <c r="C210" s="85">
        <f t="shared" si="15"/>
        <v>9</v>
      </c>
      <c r="D210" s="85">
        <f t="shared" si="16"/>
        <v>8</v>
      </c>
      <c r="E210" s="85">
        <f t="shared" si="17"/>
        <v>15</v>
      </c>
      <c r="F210" s="85" t="str">
        <f t="shared" si="18"/>
        <v>pm</v>
      </c>
      <c r="G210" s="85" t="s">
        <v>319</v>
      </c>
      <c r="H210" s="85" t="s">
        <v>186</v>
      </c>
      <c r="I210" s="85" t="s">
        <v>753</v>
      </c>
      <c r="K210" s="86">
        <f t="shared" si="19"/>
        <v>2400</v>
      </c>
      <c r="M210" s="86">
        <v>2400</v>
      </c>
    </row>
    <row r="211" spans="1:17" x14ac:dyDescent="0.3">
      <c r="A211" s="85">
        <v>4</v>
      </c>
      <c r="C211" s="85">
        <f t="shared" si="15"/>
        <v>10</v>
      </c>
      <c r="D211" s="85">
        <f t="shared" si="16"/>
        <v>10</v>
      </c>
      <c r="E211" s="85">
        <f t="shared" si="17"/>
        <v>15</v>
      </c>
      <c r="F211" s="85" t="str">
        <f t="shared" si="18"/>
        <v>pm</v>
      </c>
      <c r="G211" s="85" t="s">
        <v>320</v>
      </c>
      <c r="H211" s="85" t="s">
        <v>186</v>
      </c>
      <c r="I211" s="85" t="s">
        <v>754</v>
      </c>
      <c r="K211" s="86">
        <f t="shared" si="19"/>
        <v>2393.1790713515361</v>
      </c>
      <c r="M211" s="86">
        <v>2400</v>
      </c>
      <c r="O211" s="85">
        <v>2393.1790713515361</v>
      </c>
    </row>
    <row r="212" spans="1:17" x14ac:dyDescent="0.3">
      <c r="A212" s="85">
        <v>3</v>
      </c>
      <c r="C212" s="85">
        <f t="shared" si="15"/>
        <v>11</v>
      </c>
      <c r="D212" s="85">
        <f t="shared" si="16"/>
        <v>11</v>
      </c>
      <c r="E212" s="85">
        <f t="shared" si="17"/>
        <v>15</v>
      </c>
      <c r="F212" s="85" t="str">
        <f t="shared" si="18"/>
        <v>pm</v>
      </c>
      <c r="G212" s="85" t="s">
        <v>755</v>
      </c>
      <c r="H212" s="85" t="s">
        <v>186</v>
      </c>
      <c r="I212" s="85" t="s">
        <v>756</v>
      </c>
      <c r="K212" s="86">
        <f t="shared" si="19"/>
        <v>2296.1318958952461</v>
      </c>
      <c r="M212" s="86">
        <v>2400</v>
      </c>
      <c r="P212" s="85">
        <v>2296.1318958952461</v>
      </c>
    </row>
    <row r="213" spans="1:17" x14ac:dyDescent="0.3">
      <c r="A213" s="85">
        <v>5</v>
      </c>
      <c r="C213" s="85">
        <f t="shared" si="15"/>
        <v>12</v>
      </c>
      <c r="D213" s="85">
        <f t="shared" si="16"/>
        <v>12</v>
      </c>
      <c r="E213" s="85">
        <f t="shared" si="17"/>
        <v>15</v>
      </c>
      <c r="F213" s="85" t="str">
        <f t="shared" si="18"/>
        <v>pm</v>
      </c>
      <c r="G213" s="85" t="s">
        <v>757</v>
      </c>
      <c r="H213" s="85" t="s">
        <v>186</v>
      </c>
      <c r="I213" s="85" t="s">
        <v>758</v>
      </c>
      <c r="K213" s="86">
        <f t="shared" si="19"/>
        <v>2214.9034629732682</v>
      </c>
      <c r="M213" s="86">
        <v>2400</v>
      </c>
      <c r="O213" s="85">
        <v>2298.8859045016379</v>
      </c>
      <c r="Q213" s="85">
        <v>2214.9034629732682</v>
      </c>
    </row>
    <row r="214" spans="1:17" x14ac:dyDescent="0.3">
      <c r="A214" s="85">
        <v>3</v>
      </c>
      <c r="C214" s="85">
        <f t="shared" si="15"/>
        <v>13</v>
      </c>
      <c r="D214" s="85">
        <f t="shared" si="16"/>
        <v>13</v>
      </c>
      <c r="E214" s="85">
        <f t="shared" si="17"/>
        <v>15</v>
      </c>
      <c r="F214" s="85" t="str">
        <f t="shared" si="18"/>
        <v>pm</v>
      </c>
      <c r="G214" s="85" t="s">
        <v>759</v>
      </c>
      <c r="H214" s="85" t="s">
        <v>760</v>
      </c>
      <c r="I214" s="85" t="s">
        <v>761</v>
      </c>
      <c r="K214" s="86">
        <f t="shared" si="19"/>
        <v>2253.2352312431462</v>
      </c>
      <c r="M214" s="86">
        <v>2400</v>
      </c>
      <c r="P214" s="85">
        <v>2333.6714401541003</v>
      </c>
      <c r="Q214" s="85">
        <v>2253.2352312431462</v>
      </c>
    </row>
    <row r="215" spans="1:17" x14ac:dyDescent="0.3">
      <c r="A215" s="85">
        <v>7</v>
      </c>
      <c r="C215" s="85">
        <f t="shared" si="15"/>
        <v>14</v>
      </c>
      <c r="D215" s="85">
        <f t="shared" si="16"/>
        <v>14</v>
      </c>
      <c r="E215" s="85">
        <f t="shared" si="17"/>
        <v>15</v>
      </c>
      <c r="F215" s="85" t="str">
        <f t="shared" si="18"/>
        <v>pm</v>
      </c>
      <c r="G215" s="85" t="s">
        <v>321</v>
      </c>
      <c r="H215" s="85" t="s">
        <v>153</v>
      </c>
      <c r="I215" s="85" t="s">
        <v>762</v>
      </c>
      <c r="K215" s="86">
        <f t="shared" si="19"/>
        <v>2403.0230635787598</v>
      </c>
      <c r="M215" s="86">
        <v>2400</v>
      </c>
      <c r="O215" s="85">
        <v>2440.2205530331553</v>
      </c>
      <c r="P215" s="85">
        <v>2407.569219000482</v>
      </c>
      <c r="Q215" s="85">
        <v>2403.0230635787598</v>
      </c>
    </row>
    <row r="216" spans="1:17" x14ac:dyDescent="0.3">
      <c r="A216" s="85">
        <v>2</v>
      </c>
      <c r="C216" s="85">
        <f t="shared" si="15"/>
        <v>15</v>
      </c>
      <c r="D216" s="85">
        <f t="shared" si="16"/>
        <v>15</v>
      </c>
      <c r="E216" s="85">
        <f t="shared" si="17"/>
        <v>15</v>
      </c>
      <c r="F216" s="85" t="str">
        <f t="shared" si="18"/>
        <v>pm</v>
      </c>
      <c r="G216" s="85" t="s">
        <v>763</v>
      </c>
      <c r="H216" s="85" t="s">
        <v>258</v>
      </c>
      <c r="I216" s="85" t="s">
        <v>764</v>
      </c>
      <c r="K216" s="86">
        <f t="shared" si="19"/>
        <v>2490.4097268780183</v>
      </c>
      <c r="M216" s="86">
        <v>2400</v>
      </c>
      <c r="P216" s="85">
        <v>2490.4097268780183</v>
      </c>
    </row>
    <row r="217" spans="1:17" x14ac:dyDescent="0.3">
      <c r="A217" s="85">
        <v>2</v>
      </c>
      <c r="C217" s="85">
        <f t="shared" si="15"/>
        <v>16</v>
      </c>
      <c r="D217" s="85">
        <f t="shared" si="16"/>
        <v>16</v>
      </c>
      <c r="E217" s="85">
        <f t="shared" si="17"/>
        <v>15</v>
      </c>
      <c r="F217" s="85" t="str">
        <f t="shared" si="18"/>
        <v>pm</v>
      </c>
      <c r="G217" s="85" t="s">
        <v>324</v>
      </c>
      <c r="H217" s="85" t="s">
        <v>163</v>
      </c>
      <c r="I217" s="85" t="s">
        <v>325</v>
      </c>
      <c r="K217" s="86">
        <f t="shared" si="19"/>
        <v>2416.6605637058615</v>
      </c>
      <c r="M217" s="86">
        <v>2400</v>
      </c>
      <c r="Q217" s="85">
        <v>2416.6605637058615</v>
      </c>
    </row>
    <row r="218" spans="1:17" x14ac:dyDescent="0.3">
      <c r="A218" s="85">
        <v>1</v>
      </c>
      <c r="C218" s="85">
        <f t="shared" si="15"/>
        <v>17</v>
      </c>
      <c r="D218" s="85">
        <f t="shared" si="16"/>
        <v>17</v>
      </c>
      <c r="E218" s="85">
        <f t="shared" si="17"/>
        <v>15</v>
      </c>
      <c r="F218" s="85" t="str">
        <f t="shared" si="18"/>
        <v>pmx</v>
      </c>
      <c r="G218" s="85" t="s">
        <v>765</v>
      </c>
      <c r="H218" s="85" t="s">
        <v>142</v>
      </c>
      <c r="I218" s="85" t="s">
        <v>766</v>
      </c>
      <c r="K218" s="86">
        <f t="shared" si="19"/>
        <v>2486.0438385750294</v>
      </c>
      <c r="M218" s="86">
        <v>2400</v>
      </c>
      <c r="P218" s="85">
        <v>2486.0438385750294</v>
      </c>
    </row>
    <row r="219" spans="1:17" x14ac:dyDescent="0.3">
      <c r="A219" s="85">
        <v>2</v>
      </c>
      <c r="C219" s="85">
        <f t="shared" si="15"/>
        <v>18</v>
      </c>
      <c r="D219" s="85">
        <f t="shared" si="16"/>
        <v>18</v>
      </c>
      <c r="E219" s="85">
        <f t="shared" si="17"/>
        <v>15</v>
      </c>
      <c r="F219" s="85" t="str">
        <f t="shared" si="18"/>
        <v>pm</v>
      </c>
      <c r="G219" s="85" t="s">
        <v>327</v>
      </c>
      <c r="H219" s="85" t="s">
        <v>497</v>
      </c>
      <c r="I219" s="85" t="s">
        <v>767</v>
      </c>
      <c r="K219" s="86">
        <f t="shared" si="19"/>
        <v>2441.7454081852825</v>
      </c>
      <c r="M219" s="86">
        <v>2400</v>
      </c>
      <c r="P219" s="85">
        <v>2468.9034180624526</v>
      </c>
      <c r="Q219" s="85">
        <v>2441.7454081852825</v>
      </c>
    </row>
    <row r="220" spans="1:17" x14ac:dyDescent="0.3">
      <c r="A220" s="85">
        <v>3</v>
      </c>
      <c r="C220" s="85">
        <f t="shared" si="15"/>
        <v>19</v>
      </c>
      <c r="D220" s="85">
        <f t="shared" si="16"/>
        <v>19</v>
      </c>
      <c r="E220" s="85">
        <f t="shared" si="17"/>
        <v>15</v>
      </c>
      <c r="F220" s="85" t="str">
        <f t="shared" si="18"/>
        <v>pm</v>
      </c>
      <c r="G220" s="85" t="s">
        <v>343</v>
      </c>
      <c r="H220" s="85" t="s">
        <v>497</v>
      </c>
      <c r="I220" s="85" t="s">
        <v>768</v>
      </c>
      <c r="K220" s="86">
        <f t="shared" si="19"/>
        <v>2318.0633092605581</v>
      </c>
      <c r="M220" s="86">
        <v>2400</v>
      </c>
      <c r="P220" s="85">
        <v>2313.0079257034422</v>
      </c>
      <c r="Q220" s="85">
        <v>2318.0633092605581</v>
      </c>
    </row>
    <row r="221" spans="1:17" x14ac:dyDescent="0.3">
      <c r="A221" s="85">
        <v>2</v>
      </c>
      <c r="C221" s="85">
        <f t="shared" si="15"/>
        <v>20</v>
      </c>
      <c r="D221" s="85">
        <f t="shared" si="16"/>
        <v>20</v>
      </c>
      <c r="E221" s="85">
        <f t="shared" si="17"/>
        <v>15</v>
      </c>
      <c r="F221" s="85" t="str">
        <f t="shared" si="18"/>
        <v>pm</v>
      </c>
      <c r="G221" s="85" t="s">
        <v>769</v>
      </c>
      <c r="H221" s="85" t="s">
        <v>534</v>
      </c>
      <c r="I221" s="85" t="s">
        <v>770</v>
      </c>
      <c r="K221" s="86">
        <f t="shared" si="19"/>
        <v>2470.2950301901274</v>
      </c>
      <c r="M221" s="86">
        <v>2400</v>
      </c>
      <c r="Q221" s="85">
        <v>2470.2950301901274</v>
      </c>
    </row>
    <row r="222" spans="1:17" x14ac:dyDescent="0.3">
      <c r="A222" s="85">
        <v>2</v>
      </c>
      <c r="C222" s="85">
        <f t="shared" si="15"/>
        <v>21</v>
      </c>
      <c r="D222" s="85">
        <f t="shared" si="16"/>
        <v>21</v>
      </c>
      <c r="E222" s="85">
        <f t="shared" si="17"/>
        <v>15</v>
      </c>
      <c r="F222" s="85" t="str">
        <f t="shared" si="18"/>
        <v>pm</v>
      </c>
      <c r="G222" s="85" t="s">
        <v>771</v>
      </c>
      <c r="H222" s="85" t="s">
        <v>500</v>
      </c>
      <c r="I222" s="85" t="s">
        <v>772</v>
      </c>
      <c r="K222" s="86">
        <f t="shared" si="19"/>
        <v>2400</v>
      </c>
      <c r="M222" s="86">
        <v>2400</v>
      </c>
    </row>
    <row r="223" spans="1:17" x14ac:dyDescent="0.3">
      <c r="A223" s="85">
        <v>1</v>
      </c>
      <c r="C223" s="85">
        <f t="shared" si="15"/>
        <v>22</v>
      </c>
      <c r="D223" s="85">
        <f t="shared" si="16"/>
        <v>21</v>
      </c>
      <c r="E223" s="85">
        <f t="shared" si="17"/>
        <v>15</v>
      </c>
      <c r="F223" s="85" t="str">
        <f t="shared" si="18"/>
        <v>pmx</v>
      </c>
      <c r="G223" s="85" t="s">
        <v>773</v>
      </c>
      <c r="H223" s="85" t="s">
        <v>159</v>
      </c>
      <c r="I223" s="85" t="s">
        <v>774</v>
      </c>
      <c r="K223" s="86">
        <f t="shared" si="19"/>
        <v>2400</v>
      </c>
      <c r="M223" s="86">
        <v>2400</v>
      </c>
    </row>
    <row r="224" spans="1:17" x14ac:dyDescent="0.3">
      <c r="A224" s="85">
        <v>2</v>
      </c>
      <c r="C224" s="85">
        <f t="shared" si="15"/>
        <v>23</v>
      </c>
      <c r="D224" s="85">
        <f t="shared" si="16"/>
        <v>21</v>
      </c>
      <c r="E224" s="85">
        <f t="shared" si="17"/>
        <v>15</v>
      </c>
      <c r="F224" s="85" t="str">
        <f t="shared" si="18"/>
        <v>pm</v>
      </c>
      <c r="G224" s="85" t="s">
        <v>334</v>
      </c>
      <c r="H224" s="85" t="s">
        <v>159</v>
      </c>
      <c r="I224" s="85" t="s">
        <v>336</v>
      </c>
      <c r="K224" s="86">
        <f t="shared" si="19"/>
        <v>2400</v>
      </c>
      <c r="M224" s="86">
        <v>2400</v>
      </c>
    </row>
    <row r="225" spans="1:18" x14ac:dyDescent="0.3">
      <c r="A225" s="85">
        <v>2</v>
      </c>
      <c r="C225" s="85">
        <f t="shared" si="15"/>
        <v>24</v>
      </c>
      <c r="D225" s="85">
        <f t="shared" si="16"/>
        <v>24</v>
      </c>
      <c r="E225" s="85">
        <f t="shared" si="17"/>
        <v>15</v>
      </c>
      <c r="F225" s="85" t="str">
        <f t="shared" si="18"/>
        <v>pm</v>
      </c>
      <c r="G225" s="85" t="s">
        <v>350</v>
      </c>
      <c r="H225" s="85" t="s">
        <v>502</v>
      </c>
      <c r="I225" s="85" t="s">
        <v>775</v>
      </c>
      <c r="K225" s="86">
        <f t="shared" si="19"/>
        <v>2508.7708076017111</v>
      </c>
      <c r="M225" s="86">
        <v>2400</v>
      </c>
      <c r="Q225" s="85">
        <v>2508.7708076017111</v>
      </c>
    </row>
    <row r="226" spans="1:18" x14ac:dyDescent="0.3">
      <c r="A226" s="85">
        <v>1</v>
      </c>
      <c r="C226" s="85">
        <f t="shared" si="15"/>
        <v>25</v>
      </c>
      <c r="D226" s="85">
        <f t="shared" si="16"/>
        <v>25</v>
      </c>
      <c r="E226" s="85">
        <f t="shared" si="17"/>
        <v>15</v>
      </c>
      <c r="F226" s="85" t="str">
        <f t="shared" si="18"/>
        <v>crx</v>
      </c>
      <c r="G226" s="85" t="s">
        <v>776</v>
      </c>
      <c r="H226" s="85" t="s">
        <v>579</v>
      </c>
      <c r="I226" s="85" t="s">
        <v>777</v>
      </c>
      <c r="K226" s="86">
        <f t="shared" si="19"/>
        <v>2400</v>
      </c>
      <c r="M226" s="86">
        <v>2400</v>
      </c>
    </row>
    <row r="227" spans="1:18" x14ac:dyDescent="0.3">
      <c r="A227" s="85">
        <v>1</v>
      </c>
      <c r="C227" s="85">
        <f t="shared" si="15"/>
        <v>26</v>
      </c>
      <c r="D227" s="85">
        <f t="shared" si="16"/>
        <v>26</v>
      </c>
      <c r="E227" s="85">
        <f t="shared" si="17"/>
        <v>15</v>
      </c>
      <c r="F227" s="85" t="str">
        <f t="shared" si="18"/>
        <v>odx</v>
      </c>
      <c r="G227" s="85" t="s">
        <v>778</v>
      </c>
      <c r="H227" s="85" t="s">
        <v>779</v>
      </c>
      <c r="I227" s="85" t="s">
        <v>780</v>
      </c>
      <c r="K227" s="86">
        <f t="shared" si="19"/>
        <v>2372.8250173310089</v>
      </c>
      <c r="M227" s="86">
        <v>2400</v>
      </c>
      <c r="Q227" s="85">
        <v>2372.8250173310089</v>
      </c>
    </row>
    <row r="228" spans="1:18" x14ac:dyDescent="0.3">
      <c r="A228" s="85">
        <v>1</v>
      </c>
      <c r="C228" s="85">
        <f t="shared" si="15"/>
        <v>27</v>
      </c>
      <c r="D228" s="85">
        <f t="shared" si="16"/>
        <v>27</v>
      </c>
      <c r="E228" s="85">
        <f t="shared" si="17"/>
        <v>15</v>
      </c>
      <c r="F228" s="85" t="str">
        <f t="shared" si="18"/>
        <v>sox</v>
      </c>
      <c r="G228" s="85" t="s">
        <v>781</v>
      </c>
      <c r="H228" s="85" t="s">
        <v>782</v>
      </c>
      <c r="I228" s="85" t="s">
        <v>783</v>
      </c>
      <c r="K228" s="86">
        <f t="shared" si="19"/>
        <v>2400</v>
      </c>
      <c r="M228" s="86">
        <v>2400</v>
      </c>
    </row>
    <row r="229" spans="1:18" x14ac:dyDescent="0.3">
      <c r="A229" s="85">
        <v>1</v>
      </c>
      <c r="C229" s="85">
        <f t="shared" si="15"/>
        <v>28</v>
      </c>
      <c r="D229" s="85">
        <f t="shared" si="16"/>
        <v>28</v>
      </c>
      <c r="E229" s="85">
        <f t="shared" si="17"/>
        <v>15</v>
      </c>
      <c r="F229" s="85" t="str">
        <f t="shared" si="18"/>
        <v>sox</v>
      </c>
      <c r="G229" s="85" t="s">
        <v>784</v>
      </c>
      <c r="H229" s="85" t="s">
        <v>785</v>
      </c>
      <c r="I229" s="85" t="s">
        <v>786</v>
      </c>
      <c r="K229" s="86">
        <f t="shared" si="19"/>
        <v>2400.030483858221</v>
      </c>
      <c r="M229" s="86">
        <v>2400</v>
      </c>
      <c r="Q229" s="85">
        <v>2400.030483858221</v>
      </c>
    </row>
    <row r="230" spans="1:18" x14ac:dyDescent="0.3">
      <c r="A230" s="85">
        <v>3</v>
      </c>
      <c r="C230" s="85">
        <f t="shared" si="15"/>
        <v>29</v>
      </c>
      <c r="D230" s="85">
        <f t="shared" si="16"/>
        <v>29</v>
      </c>
      <c r="E230" s="85">
        <f t="shared" si="17"/>
        <v>15</v>
      </c>
      <c r="F230" s="85" t="str">
        <f t="shared" si="18"/>
        <v>so</v>
      </c>
      <c r="G230" s="85" t="s">
        <v>787</v>
      </c>
      <c r="H230" s="85" t="s">
        <v>785</v>
      </c>
      <c r="I230" s="85" t="s">
        <v>788</v>
      </c>
      <c r="K230" s="86">
        <f t="shared" si="19"/>
        <v>2362.2125866010965</v>
      </c>
      <c r="M230" s="86">
        <v>2400</v>
      </c>
      <c r="Q230" s="85">
        <v>2362.2125866010965</v>
      </c>
    </row>
    <row r="231" spans="1:18" x14ac:dyDescent="0.3">
      <c r="A231" s="85">
        <v>1</v>
      </c>
      <c r="C231" s="85">
        <f t="shared" si="15"/>
        <v>30</v>
      </c>
      <c r="D231" s="85">
        <f t="shared" si="16"/>
        <v>30</v>
      </c>
      <c r="E231" s="85">
        <f t="shared" si="17"/>
        <v>15</v>
      </c>
      <c r="F231" s="85" t="str">
        <f t="shared" si="18"/>
        <v>pmx</v>
      </c>
      <c r="G231" s="85" t="s">
        <v>322</v>
      </c>
      <c r="H231" s="85" t="s">
        <v>163</v>
      </c>
      <c r="I231" s="85" t="s">
        <v>323</v>
      </c>
      <c r="K231" s="86">
        <f t="shared" si="19"/>
        <v>2563.0072455408745</v>
      </c>
      <c r="M231" s="86">
        <v>2400</v>
      </c>
      <c r="Q231" s="85">
        <v>2563.0072455408745</v>
      </c>
    </row>
    <row r="232" spans="1:18" x14ac:dyDescent="0.3">
      <c r="A232" s="85">
        <v>4</v>
      </c>
      <c r="C232" s="85">
        <f t="shared" si="15"/>
        <v>31</v>
      </c>
      <c r="D232" s="85">
        <f t="shared" si="16"/>
        <v>31</v>
      </c>
      <c r="E232" s="85">
        <f t="shared" si="17"/>
        <v>15</v>
      </c>
      <c r="F232" s="85" t="str">
        <f t="shared" si="18"/>
        <v>pm</v>
      </c>
      <c r="G232" s="85" t="s">
        <v>328</v>
      </c>
      <c r="H232" s="85" t="s">
        <v>167</v>
      </c>
      <c r="I232" s="85" t="s">
        <v>329</v>
      </c>
      <c r="K232" s="86">
        <f t="shared" si="19"/>
        <v>2474.1279688846307</v>
      </c>
      <c r="M232" s="86">
        <v>2400</v>
      </c>
      <c r="Q232" s="85">
        <v>2474.1279688846307</v>
      </c>
    </row>
    <row r="233" spans="1:18" x14ac:dyDescent="0.3">
      <c r="A233" s="85">
        <v>5</v>
      </c>
      <c r="C233" s="85">
        <f t="shared" si="15"/>
        <v>32</v>
      </c>
      <c r="D233" s="85">
        <f t="shared" si="16"/>
        <v>32</v>
      </c>
      <c r="E233" s="85">
        <f t="shared" si="17"/>
        <v>15</v>
      </c>
      <c r="F233" s="85" t="str">
        <f t="shared" si="18"/>
        <v>pm</v>
      </c>
      <c r="G233" s="85" t="s">
        <v>330</v>
      </c>
      <c r="H233" s="85" t="s">
        <v>167</v>
      </c>
      <c r="I233" s="85" t="s">
        <v>789</v>
      </c>
      <c r="K233" s="86">
        <f t="shared" si="19"/>
        <v>2309.516084638658</v>
      </c>
      <c r="M233" s="86">
        <v>2400</v>
      </c>
      <c r="O233" s="85">
        <v>2429.3281503386752</v>
      </c>
      <c r="Q233" s="85">
        <v>2309.516084638658</v>
      </c>
    </row>
    <row r="234" spans="1:18" x14ac:dyDescent="0.3">
      <c r="A234" s="85">
        <v>5</v>
      </c>
      <c r="C234" s="85">
        <f t="shared" si="15"/>
        <v>33</v>
      </c>
      <c r="D234" s="85">
        <f t="shared" si="16"/>
        <v>33</v>
      </c>
      <c r="E234" s="85">
        <f t="shared" si="17"/>
        <v>15</v>
      </c>
      <c r="F234" s="85" t="str">
        <f t="shared" si="18"/>
        <v>pm</v>
      </c>
      <c r="G234" s="85" t="s">
        <v>347</v>
      </c>
      <c r="H234" s="85" t="s">
        <v>167</v>
      </c>
      <c r="I234" s="85" t="s">
        <v>790</v>
      </c>
      <c r="K234" s="86">
        <f t="shared" si="19"/>
        <v>2297.8789657702555</v>
      </c>
      <c r="M234" s="86">
        <v>2400</v>
      </c>
      <c r="O234" s="85">
        <v>2364.2098949089186</v>
      </c>
      <c r="Q234" s="85">
        <v>2297.8789657702555</v>
      </c>
    </row>
    <row r="235" spans="1:18" x14ac:dyDescent="0.3">
      <c r="A235" s="85">
        <v>3</v>
      </c>
      <c r="C235" s="85">
        <f t="shared" si="15"/>
        <v>34</v>
      </c>
      <c r="D235" s="85">
        <f t="shared" si="16"/>
        <v>34</v>
      </c>
      <c r="E235" s="85">
        <f t="shared" si="17"/>
        <v>15</v>
      </c>
      <c r="F235" s="85" t="str">
        <f t="shared" si="18"/>
        <v>pm</v>
      </c>
      <c r="G235" s="85" t="s">
        <v>335</v>
      </c>
      <c r="H235" s="85" t="s">
        <v>159</v>
      </c>
      <c r="I235" s="85" t="s">
        <v>791</v>
      </c>
      <c r="K235" s="86">
        <f t="shared" si="19"/>
        <v>2421.6337699850151</v>
      </c>
      <c r="M235" s="86">
        <v>2333.3333333333335</v>
      </c>
      <c r="O235" s="85">
        <v>2421.6337699850151</v>
      </c>
    </row>
    <row r="236" spans="1:18" x14ac:dyDescent="0.3">
      <c r="A236" s="85">
        <v>5</v>
      </c>
      <c r="C236" s="85">
        <f t="shared" si="15"/>
        <v>35</v>
      </c>
      <c r="D236" s="85">
        <f t="shared" si="16"/>
        <v>35</v>
      </c>
      <c r="E236" s="85">
        <f t="shared" si="17"/>
        <v>15</v>
      </c>
      <c r="F236" s="85" t="str">
        <f t="shared" si="18"/>
        <v>pm</v>
      </c>
      <c r="G236" s="85" t="s">
        <v>338</v>
      </c>
      <c r="H236" s="85" t="s">
        <v>549</v>
      </c>
      <c r="I236" s="85" t="s">
        <v>792</v>
      </c>
      <c r="K236" s="86">
        <f t="shared" si="19"/>
        <v>2552.8010634539187</v>
      </c>
      <c r="M236" s="86">
        <v>2320</v>
      </c>
      <c r="N236" s="85">
        <v>2443.7279493714677</v>
      </c>
      <c r="R236" s="85">
        <v>2552.8010634539187</v>
      </c>
    </row>
    <row r="237" spans="1:18" x14ac:dyDescent="0.3">
      <c r="A237" s="85">
        <v>2</v>
      </c>
      <c r="C237" s="85">
        <f t="shared" si="15"/>
        <v>36</v>
      </c>
      <c r="D237" s="85">
        <f t="shared" si="16"/>
        <v>36</v>
      </c>
      <c r="E237" s="85">
        <f t="shared" si="17"/>
        <v>15</v>
      </c>
      <c r="F237" s="85" t="str">
        <f t="shared" si="18"/>
        <v>pm</v>
      </c>
      <c r="G237" s="85" t="s">
        <v>326</v>
      </c>
      <c r="H237" s="85" t="s">
        <v>206</v>
      </c>
      <c r="I237" s="85" t="s">
        <v>793</v>
      </c>
      <c r="K237" s="86">
        <f t="shared" si="19"/>
        <v>2356.2959603435406</v>
      </c>
      <c r="M237" s="86">
        <v>2300</v>
      </c>
      <c r="P237" s="85">
        <v>2356.2959603435406</v>
      </c>
    </row>
    <row r="238" spans="1:18" x14ac:dyDescent="0.3">
      <c r="A238" s="85">
        <v>5</v>
      </c>
      <c r="C238" s="85">
        <f t="shared" si="15"/>
        <v>37</v>
      </c>
      <c r="D238" s="85">
        <f t="shared" si="16"/>
        <v>37</v>
      </c>
      <c r="E238" s="85">
        <f t="shared" si="17"/>
        <v>15</v>
      </c>
      <c r="F238" s="85" t="str">
        <f t="shared" si="18"/>
        <v>pm</v>
      </c>
      <c r="G238" s="85" t="s">
        <v>794</v>
      </c>
      <c r="H238" s="85" t="s">
        <v>236</v>
      </c>
      <c r="I238" s="85" t="s">
        <v>795</v>
      </c>
      <c r="K238" s="86">
        <f t="shared" si="19"/>
        <v>2149.8163394244666</v>
      </c>
      <c r="M238" s="86">
        <v>2240</v>
      </c>
      <c r="P238" s="85">
        <v>2173.5347882407832</v>
      </c>
      <c r="Q238" s="85">
        <v>2149.8163394244666</v>
      </c>
    </row>
    <row r="239" spans="1:18" x14ac:dyDescent="0.3">
      <c r="A239" s="85">
        <v>2</v>
      </c>
      <c r="C239" s="85">
        <f t="shared" si="15"/>
        <v>38</v>
      </c>
      <c r="D239" s="85">
        <f t="shared" si="16"/>
        <v>38</v>
      </c>
      <c r="E239" s="85">
        <f t="shared" si="17"/>
        <v>15</v>
      </c>
      <c r="F239" s="85" t="str">
        <f t="shared" si="18"/>
        <v>pm</v>
      </c>
      <c r="G239" s="85" t="s">
        <v>796</v>
      </c>
      <c r="H239" s="85" t="s">
        <v>159</v>
      </c>
      <c r="I239" s="85" t="s">
        <v>797</v>
      </c>
      <c r="K239" s="86">
        <f t="shared" si="19"/>
        <v>2200</v>
      </c>
      <c r="M239" s="86">
        <v>2200</v>
      </c>
    </row>
    <row r="240" spans="1:18" x14ac:dyDescent="0.3">
      <c r="A240" s="85">
        <v>2</v>
      </c>
      <c r="C240" s="85">
        <f t="shared" si="15"/>
        <v>39</v>
      </c>
      <c r="D240" s="85">
        <f t="shared" si="16"/>
        <v>38</v>
      </c>
      <c r="E240" s="85">
        <f t="shared" si="17"/>
        <v>15</v>
      </c>
      <c r="F240" s="85" t="str">
        <f t="shared" si="18"/>
        <v>pm</v>
      </c>
      <c r="G240" s="85" t="s">
        <v>798</v>
      </c>
      <c r="H240" s="85" t="s">
        <v>159</v>
      </c>
      <c r="I240" s="85" t="s">
        <v>799</v>
      </c>
      <c r="K240" s="86">
        <f t="shared" si="19"/>
        <v>2200</v>
      </c>
      <c r="M240" s="86">
        <v>2200</v>
      </c>
    </row>
    <row r="241" spans="1:18" x14ac:dyDescent="0.3">
      <c r="A241" s="85">
        <v>2</v>
      </c>
      <c r="C241" s="85">
        <f t="shared" si="15"/>
        <v>40</v>
      </c>
      <c r="D241" s="85">
        <f t="shared" si="16"/>
        <v>38</v>
      </c>
      <c r="E241" s="85">
        <f t="shared" si="17"/>
        <v>15</v>
      </c>
      <c r="F241" s="85" t="str">
        <f t="shared" si="18"/>
        <v>cr</v>
      </c>
      <c r="G241" s="85" t="s">
        <v>800</v>
      </c>
      <c r="H241" s="85" t="s">
        <v>495</v>
      </c>
      <c r="I241" s="85" t="s">
        <v>801</v>
      </c>
      <c r="K241" s="86">
        <f t="shared" si="19"/>
        <v>2200</v>
      </c>
      <c r="M241" s="86">
        <v>2200</v>
      </c>
    </row>
    <row r="242" spans="1:18" x14ac:dyDescent="0.3">
      <c r="A242" s="85">
        <v>2</v>
      </c>
      <c r="C242" s="85">
        <f t="shared" si="15"/>
        <v>41</v>
      </c>
      <c r="D242" s="85">
        <f t="shared" si="16"/>
        <v>38</v>
      </c>
      <c r="E242" s="85">
        <f t="shared" si="17"/>
        <v>15</v>
      </c>
      <c r="F242" s="85" t="str">
        <f t="shared" si="18"/>
        <v>fl</v>
      </c>
      <c r="G242" s="85" t="s">
        <v>802</v>
      </c>
      <c r="H242" s="85" t="s">
        <v>803</v>
      </c>
      <c r="I242" s="85" t="s">
        <v>804</v>
      </c>
      <c r="K242" s="86">
        <f t="shared" si="19"/>
        <v>2200</v>
      </c>
      <c r="M242" s="86">
        <v>2200</v>
      </c>
    </row>
    <row r="243" spans="1:18" x14ac:dyDescent="0.3">
      <c r="A243" s="85">
        <v>3</v>
      </c>
      <c r="C243" s="85">
        <f t="shared" si="15"/>
        <v>42</v>
      </c>
      <c r="D243" s="85">
        <f t="shared" si="16"/>
        <v>42</v>
      </c>
      <c r="E243" s="85">
        <f t="shared" si="17"/>
        <v>15</v>
      </c>
      <c r="F243" s="85" t="str">
        <f t="shared" si="18"/>
        <v>pm</v>
      </c>
      <c r="G243" s="85" t="s">
        <v>337</v>
      </c>
      <c r="H243" s="85" t="s">
        <v>277</v>
      </c>
      <c r="I243" s="85" t="s">
        <v>805</v>
      </c>
      <c r="K243" s="86">
        <f t="shared" si="19"/>
        <v>2012.5991057299912</v>
      </c>
      <c r="M243" s="86">
        <v>2133.3333333333335</v>
      </c>
      <c r="O243" s="85">
        <v>2098.3727680075549</v>
      </c>
      <c r="R243" s="85">
        <v>2012.5991057299912</v>
      </c>
    </row>
    <row r="244" spans="1:18" x14ac:dyDescent="0.3">
      <c r="A244" s="85">
        <v>4</v>
      </c>
      <c r="C244" s="85">
        <f t="shared" si="15"/>
        <v>43</v>
      </c>
      <c r="D244" s="85">
        <f t="shared" si="16"/>
        <v>43</v>
      </c>
      <c r="E244" s="85">
        <f t="shared" si="17"/>
        <v>15</v>
      </c>
      <c r="F244" s="85" t="str">
        <f t="shared" si="18"/>
        <v>pm</v>
      </c>
      <c r="G244" s="85" t="s">
        <v>806</v>
      </c>
      <c r="H244" s="85" t="s">
        <v>145</v>
      </c>
      <c r="I244" s="85" t="s">
        <v>807</v>
      </c>
      <c r="K244" s="86">
        <f t="shared" si="19"/>
        <v>2244.4861787298178</v>
      </c>
      <c r="M244" s="86">
        <v>2100</v>
      </c>
      <c r="N244" s="85">
        <v>2157.5785645731467</v>
      </c>
      <c r="P244" s="85">
        <v>2181.9666302120004</v>
      </c>
      <c r="R244" s="85">
        <v>2244.4861787298178</v>
      </c>
    </row>
    <row r="245" spans="1:18" x14ac:dyDescent="0.3">
      <c r="A245" s="85">
        <v>5</v>
      </c>
      <c r="C245" s="85">
        <f t="shared" si="15"/>
        <v>44</v>
      </c>
      <c r="D245" s="85">
        <f t="shared" si="16"/>
        <v>44</v>
      </c>
      <c r="E245" s="85">
        <f t="shared" si="17"/>
        <v>15</v>
      </c>
      <c r="F245" s="85" t="str">
        <f t="shared" si="18"/>
        <v>pm</v>
      </c>
      <c r="G245" s="85" t="s">
        <v>808</v>
      </c>
      <c r="H245" s="85" t="s">
        <v>549</v>
      </c>
      <c r="I245" s="85" t="s">
        <v>809</v>
      </c>
      <c r="K245" s="86">
        <f t="shared" si="19"/>
        <v>2112.5138080585534</v>
      </c>
      <c r="M245" s="86">
        <v>2080</v>
      </c>
      <c r="N245" s="85">
        <v>2069.0723637688607</v>
      </c>
      <c r="R245" s="85">
        <v>2112.5138080585534</v>
      </c>
    </row>
    <row r="246" spans="1:18" x14ac:dyDescent="0.3">
      <c r="A246" s="85">
        <v>1</v>
      </c>
      <c r="C246" s="85">
        <f t="shared" si="15"/>
        <v>45</v>
      </c>
      <c r="D246" s="85">
        <f t="shared" si="16"/>
        <v>45</v>
      </c>
      <c r="E246" s="85">
        <f t="shared" si="17"/>
        <v>15</v>
      </c>
      <c r="F246" s="85" t="str">
        <f t="shared" si="18"/>
        <v>pmx</v>
      </c>
      <c r="G246" s="85" t="s">
        <v>810</v>
      </c>
      <c r="H246" s="85" t="s">
        <v>512</v>
      </c>
      <c r="I246" s="85" t="s">
        <v>811</v>
      </c>
      <c r="K246" s="86">
        <f t="shared" si="19"/>
        <v>2000</v>
      </c>
      <c r="M246" s="86">
        <v>2000</v>
      </c>
    </row>
    <row r="247" spans="1:18" x14ac:dyDescent="0.3">
      <c r="A247" s="85">
        <v>3</v>
      </c>
      <c r="C247" s="85">
        <f t="shared" si="15"/>
        <v>46</v>
      </c>
      <c r="D247" s="85">
        <f t="shared" si="16"/>
        <v>46</v>
      </c>
      <c r="E247" s="85">
        <f t="shared" si="17"/>
        <v>15</v>
      </c>
      <c r="F247" s="85" t="str">
        <f t="shared" si="18"/>
        <v>pm</v>
      </c>
      <c r="G247" s="85" t="s">
        <v>315</v>
      </c>
      <c r="H247" s="85" t="s">
        <v>144</v>
      </c>
      <c r="I247" s="85" t="s">
        <v>812</v>
      </c>
      <c r="K247" s="86">
        <f t="shared" si="19"/>
        <v>1985.8911223651464</v>
      </c>
      <c r="M247" s="86">
        <v>2000</v>
      </c>
      <c r="N247" s="85">
        <v>1985.8911223651464</v>
      </c>
    </row>
    <row r="248" spans="1:18" x14ac:dyDescent="0.3">
      <c r="A248" s="85">
        <v>3</v>
      </c>
      <c r="C248" s="85">
        <f t="shared" si="15"/>
        <v>47</v>
      </c>
      <c r="D248" s="85">
        <f t="shared" si="16"/>
        <v>47</v>
      </c>
      <c r="E248" s="85">
        <f t="shared" si="17"/>
        <v>15</v>
      </c>
      <c r="F248" s="85" t="str">
        <f t="shared" si="18"/>
        <v>pm</v>
      </c>
      <c r="G248" s="85" t="s">
        <v>340</v>
      </c>
      <c r="H248" s="85" t="s">
        <v>144</v>
      </c>
      <c r="I248" s="85" t="s">
        <v>341</v>
      </c>
      <c r="K248" s="86">
        <f t="shared" si="19"/>
        <v>2014.0023386288276</v>
      </c>
      <c r="M248" s="86">
        <v>2000</v>
      </c>
      <c r="N248" s="85">
        <v>2014.0023386288276</v>
      </c>
    </row>
    <row r="249" spans="1:18" x14ac:dyDescent="0.3">
      <c r="A249" s="85">
        <v>3</v>
      </c>
      <c r="C249" s="85">
        <f t="shared" si="15"/>
        <v>48</v>
      </c>
      <c r="D249" s="85">
        <f t="shared" si="16"/>
        <v>48</v>
      </c>
      <c r="E249" s="85">
        <f t="shared" si="17"/>
        <v>15</v>
      </c>
      <c r="F249" s="85" t="str">
        <f t="shared" si="18"/>
        <v>pm</v>
      </c>
      <c r="G249" s="85" t="s">
        <v>813</v>
      </c>
      <c r="H249" s="85" t="s">
        <v>519</v>
      </c>
      <c r="I249" s="85" t="s">
        <v>814</v>
      </c>
      <c r="K249" s="86">
        <f t="shared" si="19"/>
        <v>2067.659762098283</v>
      </c>
      <c r="M249" s="86">
        <v>2000</v>
      </c>
      <c r="N249" s="85">
        <v>2049.5374066277782</v>
      </c>
      <c r="R249" s="85">
        <v>2067.659762098283</v>
      </c>
    </row>
    <row r="250" spans="1:18" x14ac:dyDescent="0.3">
      <c r="A250" s="85">
        <v>2</v>
      </c>
      <c r="C250" s="85">
        <f t="shared" si="15"/>
        <v>49</v>
      </c>
      <c r="D250" s="85">
        <f t="shared" si="16"/>
        <v>49</v>
      </c>
      <c r="E250" s="85">
        <f t="shared" si="17"/>
        <v>15</v>
      </c>
      <c r="F250" s="85" t="str">
        <f t="shared" si="18"/>
        <v>pm</v>
      </c>
      <c r="G250" s="85" t="s">
        <v>815</v>
      </c>
      <c r="H250" s="85" t="s">
        <v>278</v>
      </c>
      <c r="I250" s="85" t="s">
        <v>816</v>
      </c>
      <c r="K250" s="86">
        <f t="shared" si="19"/>
        <v>2124.1644411056986</v>
      </c>
      <c r="M250" s="86">
        <v>2000</v>
      </c>
      <c r="N250" s="85">
        <v>2064.8623824177516</v>
      </c>
      <c r="R250" s="85">
        <v>2124.1644411056986</v>
      </c>
    </row>
    <row r="251" spans="1:18" x14ac:dyDescent="0.3">
      <c r="A251" s="85">
        <v>7</v>
      </c>
      <c r="C251" s="85">
        <f t="shared" si="15"/>
        <v>50</v>
      </c>
      <c r="D251" s="85">
        <f t="shared" si="16"/>
        <v>50</v>
      </c>
      <c r="E251" s="85">
        <f t="shared" si="17"/>
        <v>15</v>
      </c>
      <c r="F251" s="85" t="str">
        <f t="shared" si="18"/>
        <v>pm</v>
      </c>
      <c r="G251" s="85" t="s">
        <v>817</v>
      </c>
      <c r="H251" s="85" t="s">
        <v>177</v>
      </c>
      <c r="I251" s="85" t="s">
        <v>818</v>
      </c>
      <c r="K251" s="86">
        <f t="shared" si="19"/>
        <v>1905.7355996922558</v>
      </c>
      <c r="M251" s="86">
        <v>2000</v>
      </c>
      <c r="N251" s="85">
        <v>1891.2531382656648</v>
      </c>
      <c r="P251" s="85">
        <v>1912.5278512157745</v>
      </c>
      <c r="R251" s="85">
        <v>1905.7355996922558</v>
      </c>
    </row>
    <row r="252" spans="1:18" x14ac:dyDescent="0.3">
      <c r="A252" s="85">
        <v>6</v>
      </c>
      <c r="C252" s="85">
        <f t="shared" si="15"/>
        <v>51</v>
      </c>
      <c r="D252" s="85">
        <f t="shared" si="16"/>
        <v>51</v>
      </c>
      <c r="E252" s="85">
        <f t="shared" si="17"/>
        <v>15</v>
      </c>
      <c r="F252" s="85" t="str">
        <f t="shared" si="18"/>
        <v>pm</v>
      </c>
      <c r="G252" s="85" t="s">
        <v>819</v>
      </c>
      <c r="H252" s="85" t="s">
        <v>186</v>
      </c>
      <c r="I252" s="85" t="s">
        <v>820</v>
      </c>
      <c r="K252" s="86">
        <f t="shared" si="19"/>
        <v>1907.9011658369698</v>
      </c>
      <c r="M252" s="86">
        <v>2000</v>
      </c>
      <c r="P252" s="85">
        <v>1907.0602982216196</v>
      </c>
      <c r="R252" s="85">
        <v>1907.9011658369698</v>
      </c>
    </row>
    <row r="253" spans="1:18" x14ac:dyDescent="0.3">
      <c r="A253" s="85">
        <v>3</v>
      </c>
      <c r="C253" s="85">
        <f t="shared" si="15"/>
        <v>52</v>
      </c>
      <c r="D253" s="85">
        <f t="shared" si="16"/>
        <v>52</v>
      </c>
      <c r="E253" s="85">
        <f t="shared" si="17"/>
        <v>15</v>
      </c>
      <c r="F253" s="85" t="str">
        <f t="shared" si="18"/>
        <v>pm</v>
      </c>
      <c r="G253" s="85" t="s">
        <v>821</v>
      </c>
      <c r="H253" s="85" t="s">
        <v>204</v>
      </c>
      <c r="I253" s="85" t="s">
        <v>822</v>
      </c>
      <c r="K253" s="86">
        <f t="shared" si="19"/>
        <v>2084.3018408354983</v>
      </c>
      <c r="M253" s="86">
        <v>2000</v>
      </c>
      <c r="R253" s="85">
        <v>2084.3018408354983</v>
      </c>
    </row>
    <row r="254" spans="1:18" x14ac:dyDescent="0.3">
      <c r="A254" s="85">
        <v>4</v>
      </c>
      <c r="C254" s="85">
        <f t="shared" si="15"/>
        <v>53</v>
      </c>
      <c r="D254" s="85">
        <f t="shared" si="16"/>
        <v>53</v>
      </c>
      <c r="E254" s="85">
        <f t="shared" si="17"/>
        <v>15</v>
      </c>
      <c r="F254" s="85" t="str">
        <f t="shared" si="18"/>
        <v>pm</v>
      </c>
      <c r="G254" s="85" t="s">
        <v>823</v>
      </c>
      <c r="H254" s="85" t="s">
        <v>824</v>
      </c>
      <c r="I254" s="85" t="s">
        <v>825</v>
      </c>
      <c r="K254" s="86">
        <f t="shared" si="19"/>
        <v>2100.4547618272268</v>
      </c>
      <c r="M254" s="86">
        <v>2000</v>
      </c>
      <c r="P254" s="85">
        <v>2100.4547618272268</v>
      </c>
    </row>
    <row r="255" spans="1:18" x14ac:dyDescent="0.3">
      <c r="A255" s="85">
        <v>5</v>
      </c>
      <c r="C255" s="85">
        <f t="shared" si="15"/>
        <v>54</v>
      </c>
      <c r="D255" s="85">
        <f t="shared" si="16"/>
        <v>54</v>
      </c>
      <c r="E255" s="85">
        <f t="shared" si="17"/>
        <v>15</v>
      </c>
      <c r="F255" s="85" t="str">
        <f t="shared" si="18"/>
        <v>pm</v>
      </c>
      <c r="G255" s="85" t="s">
        <v>826</v>
      </c>
      <c r="H255" s="85" t="s">
        <v>235</v>
      </c>
      <c r="I255" s="85" t="s">
        <v>827</v>
      </c>
      <c r="K255" s="86">
        <f t="shared" si="19"/>
        <v>1804.7356710542576</v>
      </c>
      <c r="M255" s="86">
        <v>2000</v>
      </c>
      <c r="P255" s="85">
        <v>1878.0185952211898</v>
      </c>
      <c r="R255" s="85">
        <v>1804.7356710542576</v>
      </c>
    </row>
    <row r="256" spans="1:18" x14ac:dyDescent="0.3">
      <c r="A256" s="85">
        <v>3</v>
      </c>
      <c r="C256" s="85">
        <f t="shared" si="15"/>
        <v>55</v>
      </c>
      <c r="D256" s="85">
        <f t="shared" si="16"/>
        <v>55</v>
      </c>
      <c r="E256" s="85">
        <f t="shared" si="17"/>
        <v>15</v>
      </c>
      <c r="F256" s="85" t="str">
        <f t="shared" si="18"/>
        <v>pm</v>
      </c>
      <c r="G256" s="85" t="s">
        <v>828</v>
      </c>
      <c r="H256" s="85" t="s">
        <v>235</v>
      </c>
      <c r="I256" s="85" t="s">
        <v>829</v>
      </c>
      <c r="K256" s="86">
        <f t="shared" si="19"/>
        <v>1972.3799548425379</v>
      </c>
      <c r="M256" s="86">
        <v>2000</v>
      </c>
      <c r="P256" s="85">
        <v>1972.3799548425379</v>
      </c>
    </row>
    <row r="257" spans="1:18" x14ac:dyDescent="0.3">
      <c r="A257" s="85">
        <v>6</v>
      </c>
      <c r="C257" s="85">
        <f t="shared" si="15"/>
        <v>56</v>
      </c>
      <c r="D257" s="85">
        <f t="shared" si="16"/>
        <v>56</v>
      </c>
      <c r="E257" s="85">
        <f t="shared" si="17"/>
        <v>15</v>
      </c>
      <c r="F257" s="85" t="str">
        <f t="shared" si="18"/>
        <v>pm</v>
      </c>
      <c r="G257" s="85" t="s">
        <v>830</v>
      </c>
      <c r="H257" s="85" t="s">
        <v>831</v>
      </c>
      <c r="I257" s="85" t="s">
        <v>832</v>
      </c>
      <c r="K257" s="86">
        <f t="shared" si="19"/>
        <v>1923.2346641244819</v>
      </c>
      <c r="M257" s="86">
        <v>2000</v>
      </c>
      <c r="N257" s="85">
        <v>1949.0271934580555</v>
      </c>
      <c r="P257" s="85">
        <v>1882.5235226783811</v>
      </c>
      <c r="R257" s="85">
        <v>1923.2346641244819</v>
      </c>
    </row>
    <row r="258" spans="1:18" x14ac:dyDescent="0.3">
      <c r="A258" s="85">
        <v>5</v>
      </c>
      <c r="C258" s="85">
        <f t="shared" ref="C258:C321" si="20">IF(E258=E257,C257+1,1)</f>
        <v>57</v>
      </c>
      <c r="D258" s="85">
        <f t="shared" ref="D258:D321" si="21">IF(K258=K257,D257,C258)</f>
        <v>57</v>
      </c>
      <c r="E258" s="85">
        <f t="shared" ref="E258:E321" si="22">10+VALUE(RIGHT(LEFT(G258,3),1))</f>
        <v>15</v>
      </c>
      <c r="F258" s="85" t="str">
        <f t="shared" ref="F258:F321" si="23">RIGHT(G258,2) &amp; IF(A258&lt;2,"x","")</f>
        <v>pm</v>
      </c>
      <c r="G258" s="85" t="s">
        <v>344</v>
      </c>
      <c r="H258" s="85" t="s">
        <v>345</v>
      </c>
      <c r="I258" s="85" t="s">
        <v>346</v>
      </c>
      <c r="K258" s="86">
        <f t="shared" ref="K258:K321" si="24">LOOKUP(1E+100,M258:AB258)</f>
        <v>1924.6311991718028</v>
      </c>
      <c r="M258" s="86">
        <v>2000</v>
      </c>
      <c r="N258" s="85">
        <v>1916.4170326361775</v>
      </c>
      <c r="R258" s="85">
        <v>1924.6311991718028</v>
      </c>
    </row>
    <row r="259" spans="1:18" x14ac:dyDescent="0.3">
      <c r="A259" s="85">
        <v>6</v>
      </c>
      <c r="C259" s="85">
        <f t="shared" si="20"/>
        <v>58</v>
      </c>
      <c r="D259" s="85">
        <f t="shared" si="21"/>
        <v>58</v>
      </c>
      <c r="E259" s="85">
        <f t="shared" si="22"/>
        <v>15</v>
      </c>
      <c r="F259" s="85" t="str">
        <f t="shared" si="23"/>
        <v>pm</v>
      </c>
      <c r="G259" s="85" t="s">
        <v>349</v>
      </c>
      <c r="H259" s="85" t="s">
        <v>167</v>
      </c>
      <c r="I259" s="85" t="s">
        <v>348</v>
      </c>
      <c r="K259" s="86">
        <f t="shared" si="24"/>
        <v>1870.0232203055843</v>
      </c>
      <c r="M259" s="86">
        <v>2000</v>
      </c>
      <c r="P259" s="85">
        <v>1971.8032083037831</v>
      </c>
      <c r="R259" s="85">
        <v>1870.0232203055843</v>
      </c>
    </row>
    <row r="260" spans="1:18" x14ac:dyDescent="0.3">
      <c r="A260" s="85">
        <v>6</v>
      </c>
      <c r="C260" s="85">
        <f t="shared" si="20"/>
        <v>59</v>
      </c>
      <c r="D260" s="85">
        <f t="shared" si="21"/>
        <v>59</v>
      </c>
      <c r="E260" s="85">
        <f t="shared" si="22"/>
        <v>15</v>
      </c>
      <c r="F260" s="85" t="str">
        <f t="shared" si="23"/>
        <v>pm</v>
      </c>
      <c r="G260" s="85" t="s">
        <v>833</v>
      </c>
      <c r="H260" s="85" t="s">
        <v>562</v>
      </c>
      <c r="I260" s="85" t="s">
        <v>834</v>
      </c>
      <c r="K260" s="86">
        <f t="shared" si="24"/>
        <v>2067.6707771946617</v>
      </c>
      <c r="M260" s="86">
        <v>2000</v>
      </c>
      <c r="N260" s="85">
        <v>1927.6957131566237</v>
      </c>
      <c r="P260" s="85">
        <v>2029.7452003979715</v>
      </c>
      <c r="R260" s="85">
        <v>2067.6707771946617</v>
      </c>
    </row>
    <row r="261" spans="1:18" x14ac:dyDescent="0.3">
      <c r="A261" s="85">
        <v>2</v>
      </c>
      <c r="C261" s="85">
        <f t="shared" si="20"/>
        <v>60</v>
      </c>
      <c r="D261" s="85">
        <f t="shared" si="21"/>
        <v>60</v>
      </c>
      <c r="E261" s="85">
        <f t="shared" si="22"/>
        <v>15</v>
      </c>
      <c r="F261" s="85" t="str">
        <f t="shared" si="23"/>
        <v>cr</v>
      </c>
      <c r="G261" s="85" t="s">
        <v>835</v>
      </c>
      <c r="H261" s="85" t="s">
        <v>495</v>
      </c>
      <c r="I261" s="85" t="s">
        <v>836</v>
      </c>
      <c r="K261" s="86">
        <f t="shared" si="24"/>
        <v>2000</v>
      </c>
      <c r="M261" s="86">
        <v>2000</v>
      </c>
    </row>
    <row r="262" spans="1:18" x14ac:dyDescent="0.3">
      <c r="A262" s="85">
        <v>1</v>
      </c>
      <c r="C262" s="85">
        <f t="shared" si="20"/>
        <v>61</v>
      </c>
      <c r="D262" s="85">
        <f t="shared" si="21"/>
        <v>61</v>
      </c>
      <c r="E262" s="85">
        <f t="shared" si="22"/>
        <v>15</v>
      </c>
      <c r="F262" s="85" t="str">
        <f t="shared" si="23"/>
        <v>crx</v>
      </c>
      <c r="G262" s="85" t="s">
        <v>837</v>
      </c>
      <c r="H262" s="85" t="s">
        <v>838</v>
      </c>
      <c r="I262" s="85" t="s">
        <v>839</v>
      </c>
      <c r="K262" s="86">
        <f t="shared" si="24"/>
        <v>2016.3722143025891</v>
      </c>
      <c r="M262" s="86">
        <v>2000</v>
      </c>
      <c r="N262" s="85">
        <v>2016.3722143025891</v>
      </c>
    </row>
    <row r="263" spans="1:18" x14ac:dyDescent="0.3">
      <c r="A263" s="85">
        <v>3</v>
      </c>
      <c r="C263" s="85">
        <f t="shared" si="20"/>
        <v>62</v>
      </c>
      <c r="D263" s="85">
        <f t="shared" si="21"/>
        <v>62</v>
      </c>
      <c r="E263" s="85">
        <f t="shared" si="22"/>
        <v>15</v>
      </c>
      <c r="F263" s="85" t="str">
        <f t="shared" si="23"/>
        <v>cr</v>
      </c>
      <c r="G263" s="85" t="s">
        <v>840</v>
      </c>
      <c r="H263" s="85" t="s">
        <v>628</v>
      </c>
      <c r="I263" s="85" t="s">
        <v>841</v>
      </c>
      <c r="K263" s="86">
        <f t="shared" si="24"/>
        <v>2047.7871472560751</v>
      </c>
      <c r="M263" s="86">
        <v>2000</v>
      </c>
      <c r="R263" s="85">
        <v>2047.7871472560751</v>
      </c>
    </row>
    <row r="264" spans="1:18" x14ac:dyDescent="0.3">
      <c r="A264" s="85">
        <v>1</v>
      </c>
      <c r="C264" s="85">
        <f t="shared" si="20"/>
        <v>1</v>
      </c>
      <c r="D264" s="85">
        <f t="shared" si="21"/>
        <v>1</v>
      </c>
      <c r="E264" s="85">
        <f t="shared" si="22"/>
        <v>16</v>
      </c>
      <c r="F264" s="85" t="str">
        <f t="shared" si="23"/>
        <v>pmx</v>
      </c>
      <c r="G264" s="85" t="s">
        <v>842</v>
      </c>
      <c r="H264" s="85" t="s">
        <v>147</v>
      </c>
      <c r="I264" s="85" t="s">
        <v>843</v>
      </c>
      <c r="K264" s="86">
        <f t="shared" si="24"/>
        <v>2600</v>
      </c>
      <c r="M264" s="86">
        <v>2600</v>
      </c>
    </row>
    <row r="265" spans="1:18" x14ac:dyDescent="0.3">
      <c r="A265" s="85">
        <v>2</v>
      </c>
      <c r="C265" s="85">
        <f t="shared" si="20"/>
        <v>2</v>
      </c>
      <c r="D265" s="85">
        <f t="shared" si="21"/>
        <v>2</v>
      </c>
      <c r="E265" s="85">
        <f t="shared" si="22"/>
        <v>16</v>
      </c>
      <c r="F265" s="85" t="str">
        <f t="shared" si="23"/>
        <v>pm</v>
      </c>
      <c r="G265" s="85" t="s">
        <v>353</v>
      </c>
      <c r="H265" s="85" t="s">
        <v>144</v>
      </c>
      <c r="I265" s="85" t="s">
        <v>354</v>
      </c>
      <c r="K265" s="86">
        <f t="shared" si="24"/>
        <v>2647.187670543276</v>
      </c>
      <c r="M265" s="86">
        <v>2600</v>
      </c>
      <c r="P265" s="85">
        <v>2580.3648746748836</v>
      </c>
      <c r="Q265" s="85">
        <v>2647.187670543276</v>
      </c>
    </row>
    <row r="266" spans="1:18" x14ac:dyDescent="0.3">
      <c r="A266" s="85">
        <v>3</v>
      </c>
      <c r="C266" s="85">
        <f t="shared" si="20"/>
        <v>3</v>
      </c>
      <c r="D266" s="85">
        <f t="shared" si="21"/>
        <v>3</v>
      </c>
      <c r="E266" s="85">
        <f t="shared" si="22"/>
        <v>16</v>
      </c>
      <c r="F266" s="85" t="str">
        <f t="shared" si="23"/>
        <v>pm</v>
      </c>
      <c r="G266" s="85" t="s">
        <v>355</v>
      </c>
      <c r="H266" s="85" t="s">
        <v>175</v>
      </c>
      <c r="I266" s="85" t="s">
        <v>844</v>
      </c>
      <c r="K266" s="86">
        <f t="shared" si="24"/>
        <v>2567.1046561128701</v>
      </c>
      <c r="M266" s="86">
        <v>2600</v>
      </c>
      <c r="O266" s="85">
        <v>2672.5298221415514</v>
      </c>
      <c r="P266" s="85">
        <v>2567.1046561128701</v>
      </c>
    </row>
    <row r="267" spans="1:18" x14ac:dyDescent="0.3">
      <c r="A267" s="85">
        <v>5</v>
      </c>
      <c r="C267" s="85">
        <f t="shared" si="20"/>
        <v>4</v>
      </c>
      <c r="D267" s="85">
        <f t="shared" si="21"/>
        <v>4</v>
      </c>
      <c r="E267" s="85">
        <f t="shared" si="22"/>
        <v>16</v>
      </c>
      <c r="F267" s="85" t="str">
        <f t="shared" si="23"/>
        <v>pm</v>
      </c>
      <c r="G267" s="85" t="s">
        <v>356</v>
      </c>
      <c r="H267" s="85" t="s">
        <v>177</v>
      </c>
      <c r="I267" s="85" t="s">
        <v>357</v>
      </c>
      <c r="K267" s="86">
        <f t="shared" si="24"/>
        <v>2673.1207483164376</v>
      </c>
      <c r="M267" s="86">
        <v>2600</v>
      </c>
      <c r="P267" s="85">
        <v>2659.5481757882421</v>
      </c>
      <c r="Q267" s="85">
        <v>2673.1207483164376</v>
      </c>
    </row>
    <row r="268" spans="1:18" x14ac:dyDescent="0.3">
      <c r="A268" s="85">
        <v>6</v>
      </c>
      <c r="C268" s="85">
        <f t="shared" si="20"/>
        <v>5</v>
      </c>
      <c r="D268" s="85">
        <f t="shared" si="21"/>
        <v>5</v>
      </c>
      <c r="E268" s="85">
        <f t="shared" si="22"/>
        <v>16</v>
      </c>
      <c r="F268" s="85" t="str">
        <f t="shared" si="23"/>
        <v>pm</v>
      </c>
      <c r="G268" s="85" t="s">
        <v>377</v>
      </c>
      <c r="H268" s="85" t="s">
        <v>177</v>
      </c>
      <c r="I268" s="85" t="s">
        <v>378</v>
      </c>
      <c r="K268" s="86">
        <f t="shared" si="24"/>
        <v>2426.3630241308842</v>
      </c>
      <c r="M268" s="86">
        <v>2600</v>
      </c>
      <c r="O268" s="85">
        <v>2576.6911553687651</v>
      </c>
      <c r="P268" s="85">
        <v>2447.7127781169233</v>
      </c>
      <c r="Q268" s="85">
        <v>2426.3630241308842</v>
      </c>
    </row>
    <row r="269" spans="1:18" x14ac:dyDescent="0.3">
      <c r="A269" s="85">
        <v>3</v>
      </c>
      <c r="C269" s="85">
        <f t="shared" si="20"/>
        <v>6</v>
      </c>
      <c r="D269" s="85">
        <f t="shared" si="21"/>
        <v>6</v>
      </c>
      <c r="E269" s="85">
        <f t="shared" si="22"/>
        <v>16</v>
      </c>
      <c r="F269" s="85" t="str">
        <f t="shared" si="23"/>
        <v>pm</v>
      </c>
      <c r="G269" s="85" t="s">
        <v>380</v>
      </c>
      <c r="H269" s="85" t="s">
        <v>145</v>
      </c>
      <c r="I269" s="85" t="s">
        <v>845</v>
      </c>
      <c r="K269" s="86">
        <f t="shared" si="24"/>
        <v>2757.3384734737615</v>
      </c>
      <c r="M269" s="86">
        <v>2600</v>
      </c>
      <c r="N269" s="85">
        <v>2722.9696572781031</v>
      </c>
      <c r="P269" s="85">
        <v>2757.3384734737615</v>
      </c>
    </row>
    <row r="270" spans="1:18" x14ac:dyDescent="0.3">
      <c r="A270" s="85">
        <v>1</v>
      </c>
      <c r="C270" s="85">
        <f t="shared" si="20"/>
        <v>7</v>
      </c>
      <c r="D270" s="85">
        <f t="shared" si="21"/>
        <v>7</v>
      </c>
      <c r="E270" s="85">
        <f t="shared" si="22"/>
        <v>16</v>
      </c>
      <c r="F270" s="85" t="str">
        <f t="shared" si="23"/>
        <v>pmx</v>
      </c>
      <c r="G270" s="85" t="s">
        <v>358</v>
      </c>
      <c r="H270" s="85" t="s">
        <v>184</v>
      </c>
      <c r="I270" s="85" t="s">
        <v>846</v>
      </c>
      <c r="K270" s="86">
        <f t="shared" si="24"/>
        <v>2600</v>
      </c>
      <c r="M270" s="86">
        <v>2600</v>
      </c>
    </row>
    <row r="271" spans="1:18" x14ac:dyDescent="0.3">
      <c r="A271" s="85">
        <v>7</v>
      </c>
      <c r="C271" s="85">
        <f t="shared" si="20"/>
        <v>8</v>
      </c>
      <c r="D271" s="85">
        <f t="shared" si="21"/>
        <v>8</v>
      </c>
      <c r="E271" s="85">
        <f t="shared" si="22"/>
        <v>16</v>
      </c>
      <c r="F271" s="85" t="str">
        <f t="shared" si="23"/>
        <v>pm</v>
      </c>
      <c r="G271" s="85" t="s">
        <v>359</v>
      </c>
      <c r="H271" s="85" t="s">
        <v>342</v>
      </c>
      <c r="I271" s="85" t="s">
        <v>847</v>
      </c>
      <c r="K271" s="86">
        <f t="shared" si="24"/>
        <v>2297.2781864265162</v>
      </c>
      <c r="M271" s="86">
        <v>2600</v>
      </c>
      <c r="O271" s="85">
        <v>2472.9439059976125</v>
      </c>
      <c r="P271" s="85">
        <v>2358.4875528013863</v>
      </c>
      <c r="Q271" s="85">
        <v>2297.2781864265162</v>
      </c>
    </row>
    <row r="272" spans="1:18" x14ac:dyDescent="0.3">
      <c r="A272" s="85">
        <v>3</v>
      </c>
      <c r="C272" s="85">
        <f t="shared" si="20"/>
        <v>9</v>
      </c>
      <c r="D272" s="85">
        <f t="shared" si="21"/>
        <v>9</v>
      </c>
      <c r="E272" s="85">
        <f t="shared" si="22"/>
        <v>16</v>
      </c>
      <c r="F272" s="85" t="str">
        <f t="shared" si="23"/>
        <v>pm</v>
      </c>
      <c r="G272" s="85" t="s">
        <v>361</v>
      </c>
      <c r="H272" s="85" t="s">
        <v>186</v>
      </c>
      <c r="I272" s="85" t="s">
        <v>848</v>
      </c>
      <c r="K272" s="86">
        <f t="shared" si="24"/>
        <v>2600</v>
      </c>
      <c r="M272" s="86">
        <v>2600</v>
      </c>
    </row>
    <row r="273" spans="1:17" x14ac:dyDescent="0.3">
      <c r="A273" s="85">
        <v>2</v>
      </c>
      <c r="C273" s="85">
        <f t="shared" si="20"/>
        <v>10</v>
      </c>
      <c r="D273" s="85">
        <f t="shared" si="21"/>
        <v>10</v>
      </c>
      <c r="E273" s="85">
        <f t="shared" si="22"/>
        <v>16</v>
      </c>
      <c r="F273" s="85" t="str">
        <f t="shared" si="23"/>
        <v>pm</v>
      </c>
      <c r="G273" s="85" t="s">
        <v>381</v>
      </c>
      <c r="H273" s="85" t="s">
        <v>204</v>
      </c>
      <c r="I273" s="85" t="s">
        <v>382</v>
      </c>
      <c r="K273" s="86">
        <f t="shared" si="24"/>
        <v>2705.5892446180078</v>
      </c>
      <c r="M273" s="86">
        <v>2600</v>
      </c>
      <c r="O273" s="85">
        <v>2705.5892446180078</v>
      </c>
    </row>
    <row r="274" spans="1:17" x14ac:dyDescent="0.3">
      <c r="A274" s="85">
        <v>7</v>
      </c>
      <c r="C274" s="85">
        <f t="shared" si="20"/>
        <v>11</v>
      </c>
      <c r="D274" s="85">
        <f t="shared" si="21"/>
        <v>11</v>
      </c>
      <c r="E274" s="85">
        <f t="shared" si="22"/>
        <v>16</v>
      </c>
      <c r="F274" s="85" t="str">
        <f t="shared" si="23"/>
        <v>pm</v>
      </c>
      <c r="G274" s="85" t="s">
        <v>364</v>
      </c>
      <c r="H274" s="85" t="s">
        <v>153</v>
      </c>
      <c r="I274" s="85" t="s">
        <v>849</v>
      </c>
      <c r="K274" s="86">
        <f t="shared" si="24"/>
        <v>2530.5046236731951</v>
      </c>
      <c r="M274" s="86">
        <v>2600</v>
      </c>
      <c r="O274" s="85">
        <v>2593.0976126550672</v>
      </c>
      <c r="P274" s="85">
        <v>2553.0896955519429</v>
      </c>
      <c r="Q274" s="85">
        <v>2530.5046236731951</v>
      </c>
    </row>
    <row r="275" spans="1:17" x14ac:dyDescent="0.3">
      <c r="A275" s="85">
        <v>2</v>
      </c>
      <c r="C275" s="85">
        <f t="shared" si="20"/>
        <v>12</v>
      </c>
      <c r="D275" s="85">
        <f t="shared" si="21"/>
        <v>12</v>
      </c>
      <c r="E275" s="85">
        <f t="shared" si="22"/>
        <v>16</v>
      </c>
      <c r="F275" s="85" t="str">
        <f t="shared" si="23"/>
        <v>pm</v>
      </c>
      <c r="G275" s="85" t="s">
        <v>365</v>
      </c>
      <c r="H275" s="85" t="s">
        <v>258</v>
      </c>
      <c r="I275" s="85" t="s">
        <v>850</v>
      </c>
      <c r="K275" s="86">
        <f t="shared" si="24"/>
        <v>2600</v>
      </c>
      <c r="M275" s="86">
        <v>2600</v>
      </c>
    </row>
    <row r="276" spans="1:17" x14ac:dyDescent="0.3">
      <c r="A276" s="85">
        <v>1</v>
      </c>
      <c r="C276" s="85">
        <f t="shared" si="20"/>
        <v>13</v>
      </c>
      <c r="D276" s="85">
        <f t="shared" si="21"/>
        <v>13</v>
      </c>
      <c r="E276" s="85">
        <f t="shared" si="22"/>
        <v>16</v>
      </c>
      <c r="F276" s="85" t="str">
        <f t="shared" si="23"/>
        <v>pmx</v>
      </c>
      <c r="G276" s="85" t="s">
        <v>366</v>
      </c>
      <c r="H276" s="85" t="s">
        <v>163</v>
      </c>
      <c r="I276" s="85" t="s">
        <v>367</v>
      </c>
      <c r="K276" s="86">
        <f t="shared" si="24"/>
        <v>2643.9003410912414</v>
      </c>
      <c r="M276" s="86">
        <v>2600</v>
      </c>
      <c r="Q276" s="85">
        <v>2643.9003410912414</v>
      </c>
    </row>
    <row r="277" spans="1:17" x14ac:dyDescent="0.3">
      <c r="A277" s="85">
        <v>4</v>
      </c>
      <c r="C277" s="85">
        <f t="shared" si="20"/>
        <v>14</v>
      </c>
      <c r="D277" s="85">
        <f t="shared" si="21"/>
        <v>14</v>
      </c>
      <c r="E277" s="85">
        <f t="shared" si="22"/>
        <v>16</v>
      </c>
      <c r="F277" s="85" t="str">
        <f t="shared" si="23"/>
        <v>pm</v>
      </c>
      <c r="G277" s="85" t="s">
        <v>851</v>
      </c>
      <c r="H277" s="85" t="s">
        <v>162</v>
      </c>
      <c r="I277" s="85" t="s">
        <v>852</v>
      </c>
      <c r="K277" s="86">
        <f t="shared" si="24"/>
        <v>2563.6487837848899</v>
      </c>
      <c r="M277" s="86">
        <v>2600</v>
      </c>
      <c r="O277" s="85">
        <v>2563.6487837848899</v>
      </c>
    </row>
    <row r="278" spans="1:17" x14ac:dyDescent="0.3">
      <c r="A278" s="85">
        <v>5</v>
      </c>
      <c r="C278" s="85">
        <f t="shared" si="20"/>
        <v>15</v>
      </c>
      <c r="D278" s="85">
        <f t="shared" si="21"/>
        <v>15</v>
      </c>
      <c r="E278" s="85">
        <f t="shared" si="22"/>
        <v>16</v>
      </c>
      <c r="F278" s="85" t="str">
        <f t="shared" si="23"/>
        <v>pm</v>
      </c>
      <c r="G278" s="85" t="s">
        <v>853</v>
      </c>
      <c r="H278" s="85" t="s">
        <v>236</v>
      </c>
      <c r="I278" s="85" t="s">
        <v>854</v>
      </c>
      <c r="K278" s="86">
        <f t="shared" si="24"/>
        <v>2545.1767463852784</v>
      </c>
      <c r="M278" s="86">
        <v>2600</v>
      </c>
      <c r="P278" s="85">
        <v>2524.8183993026673</v>
      </c>
      <c r="Q278" s="85">
        <v>2545.1767463852784</v>
      </c>
    </row>
    <row r="279" spans="1:17" x14ac:dyDescent="0.3">
      <c r="A279" s="85">
        <v>4</v>
      </c>
      <c r="C279" s="85">
        <f t="shared" si="20"/>
        <v>16</v>
      </c>
      <c r="D279" s="85">
        <f t="shared" si="21"/>
        <v>16</v>
      </c>
      <c r="E279" s="85">
        <f t="shared" si="22"/>
        <v>16</v>
      </c>
      <c r="F279" s="85" t="str">
        <f t="shared" si="23"/>
        <v>pm</v>
      </c>
      <c r="G279" s="85" t="s">
        <v>383</v>
      </c>
      <c r="H279" s="85" t="s">
        <v>497</v>
      </c>
      <c r="I279" s="85" t="s">
        <v>855</v>
      </c>
      <c r="K279" s="86">
        <f t="shared" si="24"/>
        <v>2515.2106931687822</v>
      </c>
      <c r="M279" s="86">
        <v>2600</v>
      </c>
      <c r="P279" s="85">
        <v>2503.9998422119766</v>
      </c>
      <c r="Q279" s="85">
        <v>2515.2106931687822</v>
      </c>
    </row>
    <row r="280" spans="1:17" x14ac:dyDescent="0.3">
      <c r="A280" s="85">
        <v>2</v>
      </c>
      <c r="C280" s="85">
        <f t="shared" si="20"/>
        <v>17</v>
      </c>
      <c r="D280" s="85">
        <f t="shared" si="21"/>
        <v>17</v>
      </c>
      <c r="E280" s="85">
        <f t="shared" si="22"/>
        <v>16</v>
      </c>
      <c r="F280" s="85" t="str">
        <f t="shared" si="23"/>
        <v>pm</v>
      </c>
      <c r="G280" s="85" t="s">
        <v>856</v>
      </c>
      <c r="H280" s="85" t="s">
        <v>534</v>
      </c>
      <c r="I280" s="85" t="s">
        <v>857</v>
      </c>
      <c r="K280" s="86">
        <f t="shared" si="24"/>
        <v>2579.4507109220276</v>
      </c>
      <c r="M280" s="86">
        <v>2600</v>
      </c>
      <c r="Q280" s="85">
        <v>2579.4507109220276</v>
      </c>
    </row>
    <row r="281" spans="1:17" x14ac:dyDescent="0.3">
      <c r="A281" s="85">
        <v>3</v>
      </c>
      <c r="C281" s="85">
        <f t="shared" si="20"/>
        <v>18</v>
      </c>
      <c r="D281" s="85">
        <f t="shared" si="21"/>
        <v>18</v>
      </c>
      <c r="E281" s="85">
        <f t="shared" si="22"/>
        <v>16</v>
      </c>
      <c r="F281" s="85" t="str">
        <f t="shared" si="23"/>
        <v>pm</v>
      </c>
      <c r="G281" s="85" t="s">
        <v>369</v>
      </c>
      <c r="H281" s="85" t="s">
        <v>167</v>
      </c>
      <c r="I281" s="85" t="s">
        <v>370</v>
      </c>
      <c r="K281" s="86">
        <f t="shared" si="24"/>
        <v>2611.0820809665233</v>
      </c>
      <c r="M281" s="86">
        <v>2600</v>
      </c>
      <c r="Q281" s="85">
        <v>2611.0820809665233</v>
      </c>
    </row>
    <row r="282" spans="1:17" x14ac:dyDescent="0.3">
      <c r="A282" s="85">
        <v>5</v>
      </c>
      <c r="C282" s="85">
        <f t="shared" si="20"/>
        <v>19</v>
      </c>
      <c r="D282" s="85">
        <f t="shared" si="21"/>
        <v>19</v>
      </c>
      <c r="E282" s="85">
        <f t="shared" si="22"/>
        <v>16</v>
      </c>
      <c r="F282" s="85" t="str">
        <f t="shared" si="23"/>
        <v>pm</v>
      </c>
      <c r="G282" s="85" t="s">
        <v>371</v>
      </c>
      <c r="H282" s="85" t="s">
        <v>167</v>
      </c>
      <c r="I282" s="85" t="s">
        <v>858</v>
      </c>
      <c r="K282" s="86">
        <f t="shared" si="24"/>
        <v>2479.0279188189843</v>
      </c>
      <c r="M282" s="86">
        <v>2600</v>
      </c>
      <c r="O282" s="85">
        <v>2527.0281820476162</v>
      </c>
      <c r="Q282" s="85">
        <v>2479.0279188189843</v>
      </c>
    </row>
    <row r="283" spans="1:17" x14ac:dyDescent="0.3">
      <c r="A283" s="85">
        <v>5</v>
      </c>
      <c r="C283" s="85">
        <f t="shared" si="20"/>
        <v>20</v>
      </c>
      <c r="D283" s="85">
        <f t="shared" si="21"/>
        <v>20</v>
      </c>
      <c r="E283" s="85">
        <f t="shared" si="22"/>
        <v>16</v>
      </c>
      <c r="F283" s="85" t="str">
        <f t="shared" si="23"/>
        <v>pm</v>
      </c>
      <c r="G283" s="85" t="s">
        <v>395</v>
      </c>
      <c r="H283" s="85" t="s">
        <v>167</v>
      </c>
      <c r="I283" s="85" t="s">
        <v>859</v>
      </c>
      <c r="K283" s="86">
        <f t="shared" si="24"/>
        <v>2420.7473380462216</v>
      </c>
      <c r="M283" s="86">
        <v>2600</v>
      </c>
      <c r="O283" s="85">
        <v>2506.0968226223522</v>
      </c>
      <c r="Q283" s="85">
        <v>2420.7473380462216</v>
      </c>
    </row>
    <row r="284" spans="1:17" x14ac:dyDescent="0.3">
      <c r="A284" s="85">
        <v>1</v>
      </c>
      <c r="C284" s="85">
        <f t="shared" si="20"/>
        <v>21</v>
      </c>
      <c r="D284" s="85">
        <f t="shared" si="21"/>
        <v>21</v>
      </c>
      <c r="E284" s="85">
        <f t="shared" si="22"/>
        <v>16</v>
      </c>
      <c r="F284" s="85" t="str">
        <f t="shared" si="23"/>
        <v>pmx</v>
      </c>
      <c r="G284" s="85" t="s">
        <v>860</v>
      </c>
      <c r="H284" s="85" t="s">
        <v>500</v>
      </c>
      <c r="I284" s="85" t="s">
        <v>861</v>
      </c>
      <c r="K284" s="86">
        <f t="shared" si="24"/>
        <v>2600</v>
      </c>
      <c r="M284" s="86">
        <v>2600</v>
      </c>
    </row>
    <row r="285" spans="1:17" x14ac:dyDescent="0.3">
      <c r="A285" s="85">
        <v>2</v>
      </c>
      <c r="C285" s="85">
        <f t="shared" si="20"/>
        <v>22</v>
      </c>
      <c r="D285" s="85">
        <f t="shared" si="21"/>
        <v>22</v>
      </c>
      <c r="E285" s="85">
        <f t="shared" si="22"/>
        <v>16</v>
      </c>
      <c r="F285" s="85" t="str">
        <f t="shared" si="23"/>
        <v>pm</v>
      </c>
      <c r="G285" s="85" t="s">
        <v>862</v>
      </c>
      <c r="H285" s="85" t="s">
        <v>331</v>
      </c>
      <c r="I285" s="85" t="s">
        <v>863</v>
      </c>
      <c r="K285" s="86">
        <f t="shared" si="24"/>
        <v>2672.5719297904616</v>
      </c>
      <c r="M285" s="86">
        <v>2600</v>
      </c>
      <c r="P285" s="85">
        <v>2672.5719297904616</v>
      </c>
    </row>
    <row r="286" spans="1:17" x14ac:dyDescent="0.3">
      <c r="A286" s="85">
        <v>2</v>
      </c>
      <c r="C286" s="85">
        <f t="shared" si="20"/>
        <v>23</v>
      </c>
      <c r="D286" s="85">
        <f t="shared" si="21"/>
        <v>23</v>
      </c>
      <c r="E286" s="85">
        <f t="shared" si="22"/>
        <v>16</v>
      </c>
      <c r="F286" s="85" t="str">
        <f t="shared" si="23"/>
        <v>pm</v>
      </c>
      <c r="G286" s="85" t="s">
        <v>864</v>
      </c>
      <c r="H286" s="85" t="s">
        <v>331</v>
      </c>
      <c r="I286" s="85" t="s">
        <v>865</v>
      </c>
      <c r="K286" s="86">
        <f t="shared" si="24"/>
        <v>2575.1856509639724</v>
      </c>
      <c r="M286" s="86">
        <v>2600</v>
      </c>
      <c r="P286" s="85">
        <v>2575.1856509639724</v>
      </c>
    </row>
    <row r="287" spans="1:17" x14ac:dyDescent="0.3">
      <c r="A287" s="85">
        <v>3</v>
      </c>
      <c r="C287" s="85">
        <f t="shared" si="20"/>
        <v>24</v>
      </c>
      <c r="D287" s="85">
        <f t="shared" si="21"/>
        <v>24</v>
      </c>
      <c r="E287" s="85">
        <f t="shared" si="22"/>
        <v>16</v>
      </c>
      <c r="F287" s="85" t="str">
        <f t="shared" si="23"/>
        <v>pm</v>
      </c>
      <c r="G287" s="85" t="s">
        <v>374</v>
      </c>
      <c r="H287" s="85" t="s">
        <v>502</v>
      </c>
      <c r="I287" s="85" t="s">
        <v>866</v>
      </c>
      <c r="K287" s="86">
        <f t="shared" si="24"/>
        <v>2600</v>
      </c>
      <c r="M287" s="86">
        <v>2600</v>
      </c>
    </row>
    <row r="288" spans="1:17" x14ac:dyDescent="0.3">
      <c r="A288" s="85">
        <v>2</v>
      </c>
      <c r="C288" s="85">
        <f t="shared" si="20"/>
        <v>25</v>
      </c>
      <c r="D288" s="85">
        <f t="shared" si="21"/>
        <v>25</v>
      </c>
      <c r="E288" s="85">
        <f t="shared" si="22"/>
        <v>16</v>
      </c>
      <c r="F288" s="85" t="str">
        <f t="shared" si="23"/>
        <v>cr</v>
      </c>
      <c r="G288" s="85" t="s">
        <v>867</v>
      </c>
      <c r="H288" s="85" t="s">
        <v>495</v>
      </c>
      <c r="I288" s="85" t="s">
        <v>868</v>
      </c>
      <c r="K288" s="86">
        <f t="shared" si="24"/>
        <v>2665.7413599974529</v>
      </c>
      <c r="M288" s="86">
        <v>2600</v>
      </c>
      <c r="O288" s="85">
        <v>2665.7413599974529</v>
      </c>
    </row>
    <row r="289" spans="1:17" x14ac:dyDescent="0.3">
      <c r="A289" s="85">
        <v>1</v>
      </c>
      <c r="C289" s="85">
        <f t="shared" si="20"/>
        <v>26</v>
      </c>
      <c r="D289" s="85">
        <f t="shared" si="21"/>
        <v>26</v>
      </c>
      <c r="E289" s="85">
        <f t="shared" si="22"/>
        <v>16</v>
      </c>
      <c r="F289" s="85" t="str">
        <f t="shared" si="23"/>
        <v>crx</v>
      </c>
      <c r="G289" s="85" t="s">
        <v>351</v>
      </c>
      <c r="H289" s="85" t="s">
        <v>869</v>
      </c>
      <c r="I289" s="85" t="s">
        <v>352</v>
      </c>
      <c r="K289" s="86">
        <f t="shared" si="24"/>
        <v>2606.0774111634073</v>
      </c>
      <c r="M289" s="86">
        <v>2600</v>
      </c>
      <c r="P289" s="85">
        <v>2606.0774111634073</v>
      </c>
    </row>
    <row r="290" spans="1:17" x14ac:dyDescent="0.3">
      <c r="A290" s="85">
        <v>1</v>
      </c>
      <c r="C290" s="85">
        <f t="shared" si="20"/>
        <v>27</v>
      </c>
      <c r="D290" s="85">
        <f t="shared" si="21"/>
        <v>27</v>
      </c>
      <c r="E290" s="85">
        <f t="shared" si="22"/>
        <v>16</v>
      </c>
      <c r="F290" s="85" t="str">
        <f t="shared" si="23"/>
        <v>crx</v>
      </c>
      <c r="G290" s="85" t="s">
        <v>870</v>
      </c>
      <c r="H290" s="85" t="s">
        <v>871</v>
      </c>
      <c r="I290" s="85" t="s">
        <v>872</v>
      </c>
      <c r="K290" s="86">
        <f t="shared" si="24"/>
        <v>2600</v>
      </c>
      <c r="M290" s="86">
        <v>2600</v>
      </c>
    </row>
    <row r="291" spans="1:17" x14ac:dyDescent="0.3">
      <c r="A291" s="85">
        <v>1</v>
      </c>
      <c r="C291" s="85">
        <f t="shared" si="20"/>
        <v>28</v>
      </c>
      <c r="D291" s="85">
        <f t="shared" si="21"/>
        <v>27</v>
      </c>
      <c r="E291" s="85">
        <f t="shared" si="22"/>
        <v>16</v>
      </c>
      <c r="F291" s="85" t="str">
        <f t="shared" si="23"/>
        <v>crx</v>
      </c>
      <c r="G291" s="85" t="s">
        <v>873</v>
      </c>
      <c r="H291" s="85" t="s">
        <v>874</v>
      </c>
      <c r="I291" s="85" t="s">
        <v>875</v>
      </c>
      <c r="K291" s="86">
        <f t="shared" si="24"/>
        <v>2600</v>
      </c>
      <c r="M291" s="86">
        <v>2600</v>
      </c>
    </row>
    <row r="292" spans="1:17" x14ac:dyDescent="0.3">
      <c r="A292" s="85">
        <v>1</v>
      </c>
      <c r="C292" s="85">
        <f t="shared" si="20"/>
        <v>29</v>
      </c>
      <c r="D292" s="85">
        <f t="shared" si="21"/>
        <v>27</v>
      </c>
      <c r="E292" s="85">
        <f t="shared" si="22"/>
        <v>16</v>
      </c>
      <c r="F292" s="85" t="str">
        <f t="shared" si="23"/>
        <v>crx</v>
      </c>
      <c r="G292" s="85" t="s">
        <v>876</v>
      </c>
      <c r="H292" s="85" t="s">
        <v>874</v>
      </c>
      <c r="I292" s="85" t="s">
        <v>877</v>
      </c>
      <c r="K292" s="86">
        <f t="shared" si="24"/>
        <v>2600</v>
      </c>
      <c r="M292" s="86">
        <v>2600</v>
      </c>
    </row>
    <row r="293" spans="1:17" x14ac:dyDescent="0.3">
      <c r="A293" s="85">
        <v>1</v>
      </c>
      <c r="C293" s="85">
        <f t="shared" si="20"/>
        <v>30</v>
      </c>
      <c r="D293" s="85">
        <f t="shared" si="21"/>
        <v>27</v>
      </c>
      <c r="E293" s="85">
        <f t="shared" si="22"/>
        <v>16</v>
      </c>
      <c r="F293" s="85" t="str">
        <f t="shared" si="23"/>
        <v>crx</v>
      </c>
      <c r="G293" s="85" t="s">
        <v>878</v>
      </c>
      <c r="H293" s="85" t="s">
        <v>576</v>
      </c>
      <c r="I293" s="85" t="s">
        <v>879</v>
      </c>
      <c r="K293" s="86">
        <f t="shared" si="24"/>
        <v>2600</v>
      </c>
      <c r="M293" s="86">
        <v>2600</v>
      </c>
    </row>
    <row r="294" spans="1:17" x14ac:dyDescent="0.3">
      <c r="A294" s="85">
        <v>1</v>
      </c>
      <c r="C294" s="85">
        <f t="shared" si="20"/>
        <v>31</v>
      </c>
      <c r="D294" s="85">
        <f t="shared" si="21"/>
        <v>27</v>
      </c>
      <c r="E294" s="85">
        <f t="shared" si="22"/>
        <v>16</v>
      </c>
      <c r="F294" s="85" t="str">
        <f t="shared" si="23"/>
        <v>crx</v>
      </c>
      <c r="G294" s="85" t="s">
        <v>880</v>
      </c>
      <c r="H294" s="85" t="s">
        <v>579</v>
      </c>
      <c r="I294" s="85" t="s">
        <v>881</v>
      </c>
      <c r="K294" s="86">
        <f t="shared" si="24"/>
        <v>2600</v>
      </c>
      <c r="M294" s="86">
        <v>2600</v>
      </c>
    </row>
    <row r="295" spans="1:17" x14ac:dyDescent="0.3">
      <c r="A295" s="85">
        <v>1</v>
      </c>
      <c r="C295" s="85">
        <f t="shared" si="20"/>
        <v>32</v>
      </c>
      <c r="D295" s="85">
        <f t="shared" si="21"/>
        <v>27</v>
      </c>
      <c r="E295" s="85">
        <f t="shared" si="22"/>
        <v>16</v>
      </c>
      <c r="F295" s="85" t="str">
        <f t="shared" si="23"/>
        <v>crx</v>
      </c>
      <c r="G295" s="85" t="s">
        <v>882</v>
      </c>
      <c r="H295" s="85" t="s">
        <v>579</v>
      </c>
      <c r="I295" s="85" t="s">
        <v>883</v>
      </c>
      <c r="K295" s="86">
        <f t="shared" si="24"/>
        <v>2600</v>
      </c>
      <c r="M295" s="86">
        <v>2600</v>
      </c>
    </row>
    <row r="296" spans="1:17" x14ac:dyDescent="0.3">
      <c r="A296" s="85">
        <v>1</v>
      </c>
      <c r="C296" s="85">
        <f t="shared" si="20"/>
        <v>33</v>
      </c>
      <c r="D296" s="85">
        <f t="shared" si="21"/>
        <v>27</v>
      </c>
      <c r="E296" s="85">
        <f t="shared" si="22"/>
        <v>16</v>
      </c>
      <c r="F296" s="85" t="str">
        <f t="shared" si="23"/>
        <v>gex</v>
      </c>
      <c r="G296" s="85" t="s">
        <v>884</v>
      </c>
      <c r="H296" s="85" t="s">
        <v>885</v>
      </c>
      <c r="I296" s="85" t="s">
        <v>886</v>
      </c>
      <c r="K296" s="86">
        <f t="shared" si="24"/>
        <v>2600</v>
      </c>
      <c r="M296" s="86">
        <v>2600</v>
      </c>
    </row>
    <row r="297" spans="1:17" x14ac:dyDescent="0.3">
      <c r="A297" s="85">
        <v>1</v>
      </c>
      <c r="C297" s="85">
        <f t="shared" si="20"/>
        <v>34</v>
      </c>
      <c r="D297" s="85">
        <f t="shared" si="21"/>
        <v>27</v>
      </c>
      <c r="E297" s="85">
        <f t="shared" si="22"/>
        <v>16</v>
      </c>
      <c r="F297" s="85" t="str">
        <f t="shared" si="23"/>
        <v>sox</v>
      </c>
      <c r="G297" s="85" t="s">
        <v>887</v>
      </c>
      <c r="H297" s="85" t="s">
        <v>888</v>
      </c>
      <c r="I297" s="85" t="s">
        <v>889</v>
      </c>
      <c r="K297" s="86">
        <f t="shared" si="24"/>
        <v>2600</v>
      </c>
      <c r="M297" s="86">
        <v>2600</v>
      </c>
    </row>
    <row r="298" spans="1:17" x14ac:dyDescent="0.3">
      <c r="A298" s="85">
        <v>1</v>
      </c>
      <c r="C298" s="85">
        <f t="shared" si="20"/>
        <v>35</v>
      </c>
      <c r="D298" s="85">
        <f t="shared" si="21"/>
        <v>27</v>
      </c>
      <c r="E298" s="85">
        <f t="shared" si="22"/>
        <v>16</v>
      </c>
      <c r="F298" s="85" t="str">
        <f t="shared" si="23"/>
        <v>sox</v>
      </c>
      <c r="G298" s="85" t="s">
        <v>890</v>
      </c>
      <c r="H298" s="85" t="s">
        <v>785</v>
      </c>
      <c r="I298" s="85" t="s">
        <v>891</v>
      </c>
      <c r="K298" s="86">
        <f t="shared" si="24"/>
        <v>2600</v>
      </c>
      <c r="M298" s="86">
        <v>2600</v>
      </c>
    </row>
    <row r="299" spans="1:17" x14ac:dyDescent="0.3">
      <c r="A299" s="85">
        <v>3</v>
      </c>
      <c r="C299" s="85">
        <f t="shared" si="20"/>
        <v>36</v>
      </c>
      <c r="D299" s="85">
        <f t="shared" si="21"/>
        <v>27</v>
      </c>
      <c r="E299" s="85">
        <f t="shared" si="22"/>
        <v>16</v>
      </c>
      <c r="F299" s="85" t="str">
        <f t="shared" si="23"/>
        <v>pm</v>
      </c>
      <c r="G299" s="85" t="s">
        <v>360</v>
      </c>
      <c r="H299" s="85" t="s">
        <v>186</v>
      </c>
      <c r="I299" s="85" t="s">
        <v>892</v>
      </c>
      <c r="K299" s="86">
        <f t="shared" si="24"/>
        <v>2600</v>
      </c>
      <c r="M299" s="86">
        <v>2600</v>
      </c>
    </row>
    <row r="300" spans="1:17" x14ac:dyDescent="0.3">
      <c r="A300" s="85">
        <v>2</v>
      </c>
      <c r="C300" s="85">
        <f t="shared" si="20"/>
        <v>37</v>
      </c>
      <c r="D300" s="85">
        <f t="shared" si="21"/>
        <v>37</v>
      </c>
      <c r="E300" s="85">
        <f t="shared" si="22"/>
        <v>16</v>
      </c>
      <c r="F300" s="85" t="str">
        <f t="shared" si="23"/>
        <v>pm</v>
      </c>
      <c r="G300" s="85" t="s">
        <v>375</v>
      </c>
      <c r="H300" s="85" t="s">
        <v>497</v>
      </c>
      <c r="I300" s="85" t="s">
        <v>893</v>
      </c>
      <c r="K300" s="86">
        <f t="shared" si="24"/>
        <v>2619.4647988942984</v>
      </c>
      <c r="M300" s="86">
        <v>2600</v>
      </c>
      <c r="P300" s="85">
        <v>2619.4647988942984</v>
      </c>
    </row>
    <row r="301" spans="1:17" x14ac:dyDescent="0.3">
      <c r="A301" s="85">
        <v>1</v>
      </c>
      <c r="C301" s="85">
        <f t="shared" si="20"/>
        <v>38</v>
      </c>
      <c r="D301" s="85">
        <f t="shared" si="21"/>
        <v>38</v>
      </c>
      <c r="E301" s="85">
        <f t="shared" si="22"/>
        <v>16</v>
      </c>
      <c r="F301" s="85" t="str">
        <f t="shared" si="23"/>
        <v>gex</v>
      </c>
      <c r="G301" s="85" t="s">
        <v>894</v>
      </c>
      <c r="H301" s="85" t="s">
        <v>885</v>
      </c>
      <c r="I301" s="85" t="s">
        <v>895</v>
      </c>
      <c r="K301" s="86">
        <f t="shared" si="24"/>
        <v>2600</v>
      </c>
      <c r="M301" s="86">
        <v>2600</v>
      </c>
    </row>
    <row r="302" spans="1:17" x14ac:dyDescent="0.3">
      <c r="A302" s="85">
        <v>6</v>
      </c>
      <c r="C302" s="85">
        <f t="shared" si="20"/>
        <v>39</v>
      </c>
      <c r="D302" s="85">
        <f t="shared" si="21"/>
        <v>39</v>
      </c>
      <c r="E302" s="85">
        <f t="shared" si="22"/>
        <v>16</v>
      </c>
      <c r="F302" s="85" t="str">
        <f t="shared" si="23"/>
        <v>pm</v>
      </c>
      <c r="G302" s="85" t="s">
        <v>393</v>
      </c>
      <c r="H302" s="85" t="s">
        <v>186</v>
      </c>
      <c r="I302" s="85" t="s">
        <v>896</v>
      </c>
      <c r="K302" s="86">
        <f t="shared" si="24"/>
        <v>2404.4111144743861</v>
      </c>
      <c r="M302" s="86">
        <v>2533.3333333333335</v>
      </c>
      <c r="O302" s="85">
        <v>2506.500676192396</v>
      </c>
      <c r="Q302" s="85">
        <v>2404.4111144743861</v>
      </c>
    </row>
    <row r="303" spans="1:17" x14ac:dyDescent="0.3">
      <c r="A303" s="85">
        <v>4</v>
      </c>
      <c r="C303" s="85">
        <f t="shared" si="20"/>
        <v>40</v>
      </c>
      <c r="D303" s="85">
        <f t="shared" si="21"/>
        <v>40</v>
      </c>
      <c r="E303" s="85">
        <f t="shared" si="22"/>
        <v>16</v>
      </c>
      <c r="F303" s="85" t="str">
        <f t="shared" si="23"/>
        <v>pm</v>
      </c>
      <c r="G303" s="85" t="s">
        <v>897</v>
      </c>
      <c r="H303" s="85" t="s">
        <v>675</v>
      </c>
      <c r="I303" s="85" t="s">
        <v>898</v>
      </c>
      <c r="K303" s="86">
        <f t="shared" si="24"/>
        <v>2435.5218465919183</v>
      </c>
      <c r="M303" s="86">
        <v>2500</v>
      </c>
      <c r="N303" s="85">
        <v>2435.5218465919183</v>
      </c>
    </row>
    <row r="304" spans="1:17" x14ac:dyDescent="0.3">
      <c r="A304" s="85">
        <v>3</v>
      </c>
      <c r="C304" s="85">
        <f t="shared" si="20"/>
        <v>41</v>
      </c>
      <c r="D304" s="85">
        <f t="shared" si="21"/>
        <v>41</v>
      </c>
      <c r="E304" s="85">
        <f t="shared" si="22"/>
        <v>16</v>
      </c>
      <c r="F304" s="85" t="str">
        <f t="shared" si="23"/>
        <v>pm</v>
      </c>
      <c r="G304" s="85" t="s">
        <v>385</v>
      </c>
      <c r="H304" s="85" t="s">
        <v>159</v>
      </c>
      <c r="I304" s="85" t="s">
        <v>386</v>
      </c>
      <c r="K304" s="86">
        <f t="shared" si="24"/>
        <v>2581.2018990502715</v>
      </c>
      <c r="M304" s="86">
        <v>2466.6666666666665</v>
      </c>
      <c r="P304" s="85">
        <v>2581.2018990502715</v>
      </c>
    </row>
    <row r="305" spans="1:18" x14ac:dyDescent="0.3">
      <c r="A305" s="85">
        <v>5</v>
      </c>
      <c r="C305" s="85">
        <f t="shared" si="20"/>
        <v>42</v>
      </c>
      <c r="D305" s="85">
        <f t="shared" si="21"/>
        <v>42</v>
      </c>
      <c r="E305" s="85">
        <f t="shared" si="22"/>
        <v>16</v>
      </c>
      <c r="F305" s="85" t="str">
        <f t="shared" si="23"/>
        <v>pm</v>
      </c>
      <c r="G305" s="85" t="s">
        <v>899</v>
      </c>
      <c r="H305" s="85" t="s">
        <v>526</v>
      </c>
      <c r="I305" s="85" t="s">
        <v>900</v>
      </c>
      <c r="K305" s="86">
        <f t="shared" si="24"/>
        <v>2463.775049186359</v>
      </c>
      <c r="M305" s="86">
        <v>2440</v>
      </c>
      <c r="O305" s="85">
        <v>2451.2167880233792</v>
      </c>
      <c r="R305" s="85">
        <v>2463.775049186359</v>
      </c>
    </row>
    <row r="306" spans="1:18" x14ac:dyDescent="0.3">
      <c r="A306" s="85">
        <v>2</v>
      </c>
      <c r="C306" s="85">
        <f t="shared" si="20"/>
        <v>43</v>
      </c>
      <c r="D306" s="85">
        <f t="shared" si="21"/>
        <v>43</v>
      </c>
      <c r="E306" s="85">
        <f t="shared" si="22"/>
        <v>16</v>
      </c>
      <c r="F306" s="85" t="str">
        <f t="shared" si="23"/>
        <v>pm</v>
      </c>
      <c r="G306" s="85" t="s">
        <v>389</v>
      </c>
      <c r="H306" s="85" t="s">
        <v>277</v>
      </c>
      <c r="I306" s="85" t="s">
        <v>390</v>
      </c>
      <c r="K306" s="86">
        <f t="shared" si="24"/>
        <v>2412.7691341746354</v>
      </c>
      <c r="M306" s="86">
        <v>2400</v>
      </c>
      <c r="N306" s="85">
        <v>2412.7691341746354</v>
      </c>
    </row>
    <row r="307" spans="1:18" x14ac:dyDescent="0.3">
      <c r="A307" s="85">
        <v>4</v>
      </c>
      <c r="C307" s="85">
        <f t="shared" si="20"/>
        <v>44</v>
      </c>
      <c r="D307" s="85">
        <f t="shared" si="21"/>
        <v>44</v>
      </c>
      <c r="E307" s="85">
        <f t="shared" si="22"/>
        <v>16</v>
      </c>
      <c r="F307" s="85" t="str">
        <f t="shared" si="23"/>
        <v>pm</v>
      </c>
      <c r="G307" s="85" t="s">
        <v>368</v>
      </c>
      <c r="H307" s="85" t="s">
        <v>163</v>
      </c>
      <c r="I307" s="85" t="s">
        <v>901</v>
      </c>
      <c r="K307" s="86">
        <f t="shared" si="24"/>
        <v>2429.9562010977725</v>
      </c>
      <c r="M307" s="86">
        <v>2400</v>
      </c>
      <c r="P307" s="85">
        <v>2398.7776442920149</v>
      </c>
      <c r="Q307" s="85">
        <v>2429.9562010977725</v>
      </c>
    </row>
    <row r="308" spans="1:18" x14ac:dyDescent="0.3">
      <c r="A308" s="85">
        <v>2</v>
      </c>
      <c r="C308" s="85">
        <f t="shared" si="20"/>
        <v>45</v>
      </c>
      <c r="D308" s="85">
        <f t="shared" si="21"/>
        <v>45</v>
      </c>
      <c r="E308" s="85">
        <f t="shared" si="22"/>
        <v>16</v>
      </c>
      <c r="F308" s="85" t="str">
        <f t="shared" si="23"/>
        <v>pm</v>
      </c>
      <c r="G308" s="85" t="s">
        <v>902</v>
      </c>
      <c r="H308" s="85" t="s">
        <v>206</v>
      </c>
      <c r="I308" s="85" t="s">
        <v>903</v>
      </c>
      <c r="K308" s="86">
        <f t="shared" si="24"/>
        <v>2559.6004804126883</v>
      </c>
      <c r="M308" s="86">
        <v>2400</v>
      </c>
      <c r="P308" s="85">
        <v>2559.6004804126883</v>
      </c>
    </row>
    <row r="309" spans="1:18" x14ac:dyDescent="0.3">
      <c r="A309" s="85">
        <v>2</v>
      </c>
      <c r="C309" s="85">
        <f t="shared" si="20"/>
        <v>46</v>
      </c>
      <c r="D309" s="85">
        <f t="shared" si="21"/>
        <v>46</v>
      </c>
      <c r="E309" s="85">
        <f t="shared" si="22"/>
        <v>16</v>
      </c>
      <c r="F309" s="85" t="str">
        <f t="shared" si="23"/>
        <v>pm</v>
      </c>
      <c r="G309" s="85" t="s">
        <v>384</v>
      </c>
      <c r="H309" s="85" t="s">
        <v>159</v>
      </c>
      <c r="I309" s="85" t="s">
        <v>904</v>
      </c>
      <c r="K309" s="86">
        <f t="shared" si="24"/>
        <v>2400</v>
      </c>
      <c r="M309" s="86">
        <v>2400</v>
      </c>
    </row>
    <row r="310" spans="1:18" x14ac:dyDescent="0.3">
      <c r="A310" s="85">
        <v>2</v>
      </c>
      <c r="C310" s="85">
        <f t="shared" si="20"/>
        <v>47</v>
      </c>
      <c r="D310" s="85">
        <f t="shared" si="21"/>
        <v>46</v>
      </c>
      <c r="E310" s="85">
        <f t="shared" si="22"/>
        <v>16</v>
      </c>
      <c r="F310" s="85" t="str">
        <f t="shared" si="23"/>
        <v>so</v>
      </c>
      <c r="G310" s="85" t="s">
        <v>905</v>
      </c>
      <c r="H310" s="85" t="s">
        <v>785</v>
      </c>
      <c r="I310" s="85" t="s">
        <v>906</v>
      </c>
      <c r="K310" s="86">
        <f t="shared" si="24"/>
        <v>2400</v>
      </c>
      <c r="M310" s="86">
        <v>2400</v>
      </c>
    </row>
    <row r="311" spans="1:18" x14ac:dyDescent="0.3">
      <c r="A311" s="85">
        <v>5</v>
      </c>
      <c r="C311" s="85">
        <f t="shared" si="20"/>
        <v>48</v>
      </c>
      <c r="D311" s="85">
        <f t="shared" si="21"/>
        <v>48</v>
      </c>
      <c r="E311" s="85">
        <f t="shared" si="22"/>
        <v>16</v>
      </c>
      <c r="F311" s="85" t="str">
        <f t="shared" si="23"/>
        <v>pm</v>
      </c>
      <c r="G311" s="85" t="s">
        <v>396</v>
      </c>
      <c r="H311" s="85" t="s">
        <v>562</v>
      </c>
      <c r="I311" s="85" t="s">
        <v>397</v>
      </c>
      <c r="K311" s="86">
        <f t="shared" si="24"/>
        <v>2444.33874364762</v>
      </c>
      <c r="M311" s="86">
        <v>2360</v>
      </c>
      <c r="N311" s="85">
        <v>2378.6478158384998</v>
      </c>
      <c r="P311" s="85">
        <v>2399.7073966884218</v>
      </c>
      <c r="R311" s="85">
        <v>2444.33874364762</v>
      </c>
    </row>
    <row r="312" spans="1:18" x14ac:dyDescent="0.3">
      <c r="A312" s="85">
        <v>3</v>
      </c>
      <c r="C312" s="85">
        <f t="shared" si="20"/>
        <v>49</v>
      </c>
      <c r="D312" s="85">
        <f t="shared" si="21"/>
        <v>49</v>
      </c>
      <c r="E312" s="85">
        <f t="shared" si="22"/>
        <v>16</v>
      </c>
      <c r="F312" s="85" t="str">
        <f t="shared" si="23"/>
        <v>pm</v>
      </c>
      <c r="G312" s="85" t="s">
        <v>379</v>
      </c>
      <c r="H312" s="85" t="s">
        <v>277</v>
      </c>
      <c r="I312" s="85" t="s">
        <v>907</v>
      </c>
      <c r="K312" s="86">
        <f t="shared" si="24"/>
        <v>2294.7471419006729</v>
      </c>
      <c r="M312" s="86">
        <v>2333.3333333333335</v>
      </c>
      <c r="O312" s="85">
        <v>2350.4492194249574</v>
      </c>
      <c r="R312" s="85">
        <v>2294.7471419006729</v>
      </c>
    </row>
    <row r="313" spans="1:18" x14ac:dyDescent="0.3">
      <c r="A313" s="85">
        <v>3</v>
      </c>
      <c r="C313" s="85">
        <f t="shared" si="20"/>
        <v>50</v>
      </c>
      <c r="D313" s="85">
        <f t="shared" si="21"/>
        <v>50</v>
      </c>
      <c r="E313" s="85">
        <f t="shared" si="22"/>
        <v>16</v>
      </c>
      <c r="F313" s="85" t="str">
        <f t="shared" si="23"/>
        <v>pm</v>
      </c>
      <c r="G313" s="85" t="s">
        <v>387</v>
      </c>
      <c r="H313" s="85" t="s">
        <v>159</v>
      </c>
      <c r="I313" s="85" t="s">
        <v>908</v>
      </c>
      <c r="K313" s="86">
        <f t="shared" si="24"/>
        <v>2440.4966018677383</v>
      </c>
      <c r="M313" s="86">
        <v>2333.3333333333335</v>
      </c>
      <c r="P313" s="85">
        <v>2440.4966018677383</v>
      </c>
    </row>
    <row r="314" spans="1:18" x14ac:dyDescent="0.3">
      <c r="A314" s="85">
        <v>3</v>
      </c>
      <c r="C314" s="85">
        <f t="shared" si="20"/>
        <v>51</v>
      </c>
      <c r="D314" s="85">
        <f t="shared" si="21"/>
        <v>51</v>
      </c>
      <c r="E314" s="85">
        <f t="shared" si="22"/>
        <v>16</v>
      </c>
      <c r="F314" s="85" t="str">
        <f t="shared" si="23"/>
        <v>pm</v>
      </c>
      <c r="G314" s="85" t="s">
        <v>909</v>
      </c>
      <c r="H314" s="85" t="s">
        <v>159</v>
      </c>
      <c r="I314" s="85" t="s">
        <v>910</v>
      </c>
      <c r="K314" s="86">
        <f t="shared" si="24"/>
        <v>2348.2124168226542</v>
      </c>
      <c r="M314" s="86">
        <v>2333.3333333333335</v>
      </c>
      <c r="P314" s="85">
        <v>2348.2124168226542</v>
      </c>
    </row>
    <row r="315" spans="1:18" x14ac:dyDescent="0.3">
      <c r="A315" s="85">
        <v>5</v>
      </c>
      <c r="C315" s="85">
        <f t="shared" si="20"/>
        <v>52</v>
      </c>
      <c r="D315" s="85">
        <f t="shared" si="21"/>
        <v>52</v>
      </c>
      <c r="E315" s="85">
        <f t="shared" si="22"/>
        <v>16</v>
      </c>
      <c r="F315" s="85" t="str">
        <f t="shared" si="23"/>
        <v>pm</v>
      </c>
      <c r="G315" s="85" t="s">
        <v>388</v>
      </c>
      <c r="H315" s="85" t="s">
        <v>549</v>
      </c>
      <c r="I315" s="85" t="s">
        <v>911</v>
      </c>
      <c r="K315" s="86">
        <f t="shared" si="24"/>
        <v>2414.7958578041998</v>
      </c>
      <c r="M315" s="86">
        <v>2320</v>
      </c>
      <c r="N315" s="85">
        <v>2349.5946590373273</v>
      </c>
      <c r="P315" s="85">
        <v>2452.2858462021122</v>
      </c>
      <c r="R315" s="85">
        <v>2414.7958578041998</v>
      </c>
    </row>
    <row r="316" spans="1:18" x14ac:dyDescent="0.3">
      <c r="A316" s="85">
        <v>4</v>
      </c>
      <c r="C316" s="85">
        <f t="shared" si="20"/>
        <v>53</v>
      </c>
      <c r="D316" s="85">
        <f t="shared" si="21"/>
        <v>53</v>
      </c>
      <c r="E316" s="85">
        <f t="shared" si="22"/>
        <v>16</v>
      </c>
      <c r="F316" s="85" t="str">
        <f t="shared" si="23"/>
        <v>pm</v>
      </c>
      <c r="G316" s="85" t="s">
        <v>912</v>
      </c>
      <c r="H316" s="85" t="s">
        <v>534</v>
      </c>
      <c r="I316" s="85" t="s">
        <v>913</v>
      </c>
      <c r="K316" s="86">
        <f t="shared" si="24"/>
        <v>2351.0771552233873</v>
      </c>
      <c r="M316" s="86">
        <v>2300</v>
      </c>
      <c r="P316" s="85">
        <v>2351.0771552233873</v>
      </c>
    </row>
    <row r="317" spans="1:18" x14ac:dyDescent="0.3">
      <c r="A317" s="85">
        <v>4</v>
      </c>
      <c r="C317" s="85">
        <f t="shared" si="20"/>
        <v>54</v>
      </c>
      <c r="D317" s="85">
        <f t="shared" si="21"/>
        <v>54</v>
      </c>
      <c r="E317" s="85">
        <f t="shared" si="22"/>
        <v>16</v>
      </c>
      <c r="F317" s="85" t="str">
        <f t="shared" si="23"/>
        <v>pm</v>
      </c>
      <c r="G317" s="85" t="s">
        <v>914</v>
      </c>
      <c r="H317" s="85" t="s">
        <v>331</v>
      </c>
      <c r="I317" s="85" t="s">
        <v>915</v>
      </c>
      <c r="K317" s="86">
        <f t="shared" si="24"/>
        <v>2228.6080523393039</v>
      </c>
      <c r="M317" s="86">
        <v>2300</v>
      </c>
      <c r="N317" s="85">
        <v>2240.5536622425197</v>
      </c>
      <c r="P317" s="85">
        <v>2228.6080523393039</v>
      </c>
    </row>
    <row r="318" spans="1:18" x14ac:dyDescent="0.3">
      <c r="A318" s="85">
        <v>6</v>
      </c>
      <c r="C318" s="85">
        <f t="shared" si="20"/>
        <v>55</v>
      </c>
      <c r="D318" s="85">
        <f t="shared" si="21"/>
        <v>55</v>
      </c>
      <c r="E318" s="85">
        <f t="shared" si="22"/>
        <v>16</v>
      </c>
      <c r="F318" s="85" t="str">
        <f t="shared" si="23"/>
        <v>pm</v>
      </c>
      <c r="G318" s="85" t="s">
        <v>376</v>
      </c>
      <c r="H318" s="85" t="s">
        <v>308</v>
      </c>
      <c r="I318" s="85" t="s">
        <v>916</v>
      </c>
      <c r="K318" s="86">
        <f t="shared" si="24"/>
        <v>2316.1452674617358</v>
      </c>
      <c r="M318" s="86">
        <v>2266.6666666666665</v>
      </c>
      <c r="P318" s="85">
        <v>2282.9565164409532</v>
      </c>
      <c r="R318" s="85">
        <v>2316.1452674617358</v>
      </c>
    </row>
    <row r="319" spans="1:18" x14ac:dyDescent="0.3">
      <c r="A319" s="85">
        <v>6</v>
      </c>
      <c r="C319" s="85">
        <f t="shared" si="20"/>
        <v>56</v>
      </c>
      <c r="D319" s="85">
        <f t="shared" si="21"/>
        <v>56</v>
      </c>
      <c r="E319" s="85">
        <f t="shared" si="22"/>
        <v>16</v>
      </c>
      <c r="F319" s="85" t="str">
        <f t="shared" si="23"/>
        <v>pm</v>
      </c>
      <c r="G319" s="85" t="s">
        <v>391</v>
      </c>
      <c r="H319" s="85" t="s">
        <v>392</v>
      </c>
      <c r="I319" s="85" t="s">
        <v>917</v>
      </c>
      <c r="K319" s="86">
        <f t="shared" si="24"/>
        <v>2205.2983897548643</v>
      </c>
      <c r="M319" s="86">
        <v>2200</v>
      </c>
      <c r="N319" s="85">
        <v>2177.6728316862236</v>
      </c>
      <c r="P319" s="85">
        <v>2266.6337502919241</v>
      </c>
      <c r="R319" s="85">
        <v>2205.2983897548643</v>
      </c>
    </row>
    <row r="320" spans="1:18" x14ac:dyDescent="0.3">
      <c r="A320" s="85">
        <v>2</v>
      </c>
      <c r="C320" s="85">
        <f t="shared" si="20"/>
        <v>57</v>
      </c>
      <c r="D320" s="85">
        <f t="shared" si="21"/>
        <v>57</v>
      </c>
      <c r="E320" s="85">
        <f t="shared" si="22"/>
        <v>16</v>
      </c>
      <c r="F320" s="85" t="str">
        <f t="shared" si="23"/>
        <v>pm</v>
      </c>
      <c r="G320" s="85" t="s">
        <v>918</v>
      </c>
      <c r="H320" s="85" t="s">
        <v>515</v>
      </c>
      <c r="I320" s="85" t="s">
        <v>919</v>
      </c>
      <c r="K320" s="86">
        <f t="shared" si="24"/>
        <v>2200</v>
      </c>
      <c r="M320" s="86">
        <v>2200</v>
      </c>
    </row>
    <row r="321" spans="1:18" x14ac:dyDescent="0.3">
      <c r="A321" s="85">
        <v>4</v>
      </c>
      <c r="C321" s="85">
        <f t="shared" si="20"/>
        <v>58</v>
      </c>
      <c r="D321" s="85">
        <f t="shared" si="21"/>
        <v>58</v>
      </c>
      <c r="E321" s="85">
        <f t="shared" si="22"/>
        <v>16</v>
      </c>
      <c r="F321" s="85" t="str">
        <f t="shared" si="23"/>
        <v>pm</v>
      </c>
      <c r="G321" s="85" t="s">
        <v>920</v>
      </c>
      <c r="H321" s="85" t="s">
        <v>339</v>
      </c>
      <c r="I321" s="85" t="s">
        <v>921</v>
      </c>
      <c r="K321" s="86">
        <f t="shared" si="24"/>
        <v>2189.1224640919872</v>
      </c>
      <c r="M321" s="86">
        <v>2200</v>
      </c>
      <c r="P321" s="85">
        <v>2189.1224640919872</v>
      </c>
    </row>
    <row r="322" spans="1:18" x14ac:dyDescent="0.3">
      <c r="A322" s="85">
        <v>2</v>
      </c>
      <c r="C322" s="85">
        <f t="shared" ref="C322:C385" si="25">IF(E322=E321,C321+1,1)</f>
        <v>59</v>
      </c>
      <c r="D322" s="85">
        <f t="shared" ref="D322:D385" si="26">IF(K322=K321,D321,C322)</f>
        <v>59</v>
      </c>
      <c r="E322" s="85">
        <f t="shared" ref="E322:E385" si="27">10+VALUE(RIGHT(LEFT(G322,3),1))</f>
        <v>16</v>
      </c>
      <c r="F322" s="85" t="str">
        <f t="shared" ref="F322:F385" si="28">RIGHT(G322,2) &amp; IF(A322&lt;2,"x","")</f>
        <v>pm</v>
      </c>
      <c r="G322" s="85" t="s">
        <v>922</v>
      </c>
      <c r="H322" s="85" t="s">
        <v>519</v>
      </c>
      <c r="I322" s="85" t="s">
        <v>923</v>
      </c>
      <c r="K322" s="86">
        <f t="shared" ref="K322:K385" si="29">LOOKUP(1E+100,M322:AB322)</f>
        <v>2096.2478710055943</v>
      </c>
      <c r="M322" s="86">
        <v>2200</v>
      </c>
      <c r="N322" s="85">
        <v>2124.4926134098159</v>
      </c>
      <c r="R322" s="85">
        <v>2096.2478710055943</v>
      </c>
    </row>
    <row r="323" spans="1:18" x14ac:dyDescent="0.3">
      <c r="A323" s="85">
        <v>5</v>
      </c>
      <c r="C323" s="85">
        <f t="shared" si="25"/>
        <v>60</v>
      </c>
      <c r="D323" s="85">
        <f t="shared" si="26"/>
        <v>60</v>
      </c>
      <c r="E323" s="85">
        <f t="shared" si="27"/>
        <v>16</v>
      </c>
      <c r="F323" s="85" t="str">
        <f t="shared" si="28"/>
        <v>pm</v>
      </c>
      <c r="G323" s="85" t="s">
        <v>924</v>
      </c>
      <c r="H323" s="85" t="s">
        <v>175</v>
      </c>
      <c r="I323" s="85" t="s">
        <v>925</v>
      </c>
      <c r="K323" s="86">
        <f t="shared" si="29"/>
        <v>2246.0256926694246</v>
      </c>
      <c r="M323" s="86">
        <v>2200</v>
      </c>
      <c r="N323" s="85">
        <v>2160.485456451649</v>
      </c>
      <c r="P323" s="85">
        <v>2246.0256926694246</v>
      </c>
    </row>
    <row r="324" spans="1:18" x14ac:dyDescent="0.3">
      <c r="A324" s="85">
        <v>7</v>
      </c>
      <c r="C324" s="85">
        <f t="shared" si="25"/>
        <v>61</v>
      </c>
      <c r="D324" s="85">
        <f t="shared" si="26"/>
        <v>61</v>
      </c>
      <c r="E324" s="85">
        <f t="shared" si="27"/>
        <v>16</v>
      </c>
      <c r="F324" s="85" t="str">
        <f t="shared" si="28"/>
        <v>pm</v>
      </c>
      <c r="G324" s="85" t="s">
        <v>926</v>
      </c>
      <c r="H324" s="85" t="s">
        <v>177</v>
      </c>
      <c r="I324" s="85" t="s">
        <v>927</v>
      </c>
      <c r="K324" s="86">
        <f t="shared" si="29"/>
        <v>2067.6599257225844</v>
      </c>
      <c r="M324" s="86">
        <v>2200</v>
      </c>
      <c r="N324" s="85">
        <v>2166.6305951950408</v>
      </c>
      <c r="P324" s="85">
        <v>2131.4347293190935</v>
      </c>
      <c r="R324" s="85">
        <v>2067.6599257225844</v>
      </c>
    </row>
    <row r="325" spans="1:18" x14ac:dyDescent="0.3">
      <c r="A325" s="85">
        <v>6</v>
      </c>
      <c r="C325" s="85">
        <f t="shared" si="25"/>
        <v>62</v>
      </c>
      <c r="D325" s="85">
        <f t="shared" si="26"/>
        <v>62</v>
      </c>
      <c r="E325" s="85">
        <f t="shared" si="27"/>
        <v>16</v>
      </c>
      <c r="F325" s="85" t="str">
        <f t="shared" si="28"/>
        <v>pm</v>
      </c>
      <c r="G325" s="85" t="s">
        <v>928</v>
      </c>
      <c r="H325" s="85" t="s">
        <v>526</v>
      </c>
      <c r="I325" s="85" t="s">
        <v>929</v>
      </c>
      <c r="K325" s="86">
        <f t="shared" si="29"/>
        <v>2097.4331027739217</v>
      </c>
      <c r="M325" s="86">
        <v>2200</v>
      </c>
      <c r="P325" s="85">
        <v>2137.3159746233223</v>
      </c>
      <c r="R325" s="85">
        <v>2097.4331027739217</v>
      </c>
    </row>
    <row r="326" spans="1:18" x14ac:dyDescent="0.3">
      <c r="A326" s="85">
        <v>4</v>
      </c>
      <c r="C326" s="85">
        <f t="shared" si="25"/>
        <v>63</v>
      </c>
      <c r="D326" s="85">
        <f t="shared" si="26"/>
        <v>63</v>
      </c>
      <c r="E326" s="85">
        <f t="shared" si="27"/>
        <v>16</v>
      </c>
      <c r="F326" s="85" t="str">
        <f t="shared" si="28"/>
        <v>pm</v>
      </c>
      <c r="G326" s="85" t="s">
        <v>362</v>
      </c>
      <c r="H326" s="85" t="s">
        <v>150</v>
      </c>
      <c r="I326" s="85" t="s">
        <v>363</v>
      </c>
      <c r="K326" s="86">
        <f t="shared" si="29"/>
        <v>2167.4604437792609</v>
      </c>
      <c r="M326" s="86">
        <v>2200</v>
      </c>
      <c r="P326" s="85">
        <v>2171.5338221361626</v>
      </c>
      <c r="R326" s="85">
        <v>2167.4604437792609</v>
      </c>
    </row>
    <row r="327" spans="1:18" x14ac:dyDescent="0.3">
      <c r="A327" s="85">
        <v>7</v>
      </c>
      <c r="C327" s="85">
        <f t="shared" si="25"/>
        <v>64</v>
      </c>
      <c r="D327" s="85">
        <f t="shared" si="26"/>
        <v>64</v>
      </c>
      <c r="E327" s="85">
        <f t="shared" si="27"/>
        <v>16</v>
      </c>
      <c r="F327" s="85" t="str">
        <f t="shared" si="28"/>
        <v>pm</v>
      </c>
      <c r="G327" s="85" t="s">
        <v>394</v>
      </c>
      <c r="H327" s="85" t="s">
        <v>153</v>
      </c>
      <c r="I327" s="85" t="s">
        <v>930</v>
      </c>
      <c r="K327" s="86">
        <f t="shared" si="29"/>
        <v>2119.9258654445771</v>
      </c>
      <c r="M327" s="86">
        <v>2200</v>
      </c>
      <c r="N327" s="85">
        <v>2142.8617667366602</v>
      </c>
      <c r="P327" s="85">
        <v>2162.529492486251</v>
      </c>
      <c r="R327" s="85">
        <v>2119.9258654445771</v>
      </c>
    </row>
    <row r="328" spans="1:18" x14ac:dyDescent="0.3">
      <c r="A328" s="85">
        <v>5</v>
      </c>
      <c r="C328" s="85">
        <f t="shared" si="25"/>
        <v>65</v>
      </c>
      <c r="D328" s="85">
        <f t="shared" si="26"/>
        <v>65</v>
      </c>
      <c r="E328" s="85">
        <f t="shared" si="27"/>
        <v>16</v>
      </c>
      <c r="F328" s="85" t="str">
        <f t="shared" si="28"/>
        <v>pm</v>
      </c>
      <c r="G328" s="85" t="s">
        <v>931</v>
      </c>
      <c r="H328" s="85" t="s">
        <v>242</v>
      </c>
      <c r="I328" s="85" t="s">
        <v>932</v>
      </c>
      <c r="K328" s="86">
        <f t="shared" si="29"/>
        <v>2138.4190841596073</v>
      </c>
      <c r="M328" s="86">
        <v>2200</v>
      </c>
      <c r="P328" s="85">
        <v>2163.4233364273991</v>
      </c>
      <c r="R328" s="85">
        <v>2138.4190841596073</v>
      </c>
    </row>
    <row r="329" spans="1:18" x14ac:dyDescent="0.3">
      <c r="A329" s="85">
        <v>5</v>
      </c>
      <c r="C329" s="85">
        <f t="shared" si="25"/>
        <v>66</v>
      </c>
      <c r="D329" s="85">
        <f t="shared" si="26"/>
        <v>66</v>
      </c>
      <c r="E329" s="85">
        <f t="shared" si="27"/>
        <v>16</v>
      </c>
      <c r="F329" s="85" t="str">
        <f t="shared" si="28"/>
        <v>pm</v>
      </c>
      <c r="G329" s="85" t="s">
        <v>933</v>
      </c>
      <c r="H329" s="85" t="s">
        <v>242</v>
      </c>
      <c r="I329" s="85" t="s">
        <v>934</v>
      </c>
      <c r="K329" s="86">
        <f t="shared" si="29"/>
        <v>2013.3700384810331</v>
      </c>
      <c r="M329" s="86">
        <v>2200</v>
      </c>
      <c r="P329" s="85">
        <v>2120.6626175619003</v>
      </c>
      <c r="R329" s="85">
        <v>2013.3700384810331</v>
      </c>
    </row>
    <row r="330" spans="1:18" x14ac:dyDescent="0.3">
      <c r="A330" s="85">
        <v>2</v>
      </c>
      <c r="C330" s="85">
        <f t="shared" si="25"/>
        <v>67</v>
      </c>
      <c r="D330" s="85">
        <f t="shared" si="26"/>
        <v>67</v>
      </c>
      <c r="E330" s="85">
        <f t="shared" si="27"/>
        <v>16</v>
      </c>
      <c r="F330" s="85" t="str">
        <f t="shared" si="28"/>
        <v>pm</v>
      </c>
      <c r="G330" s="85" t="s">
        <v>935</v>
      </c>
      <c r="H330" s="85" t="s">
        <v>675</v>
      </c>
      <c r="I330" s="85" t="s">
        <v>936</v>
      </c>
      <c r="K330" s="86">
        <f t="shared" si="29"/>
        <v>2200</v>
      </c>
      <c r="M330" s="86">
        <v>2200</v>
      </c>
    </row>
    <row r="331" spans="1:18" x14ac:dyDescent="0.3">
      <c r="A331" s="85">
        <v>1</v>
      </c>
      <c r="C331" s="85">
        <f t="shared" si="25"/>
        <v>68</v>
      </c>
      <c r="D331" s="85">
        <f t="shared" si="26"/>
        <v>67</v>
      </c>
      <c r="E331" s="85">
        <f t="shared" si="27"/>
        <v>16</v>
      </c>
      <c r="F331" s="85" t="str">
        <f t="shared" si="28"/>
        <v>crx</v>
      </c>
      <c r="G331" s="85" t="s">
        <v>937</v>
      </c>
      <c r="H331" s="85" t="s">
        <v>722</v>
      </c>
      <c r="I331" s="85" t="s">
        <v>938</v>
      </c>
      <c r="K331" s="86">
        <f t="shared" si="29"/>
        <v>2200</v>
      </c>
      <c r="M331" s="86">
        <v>2200</v>
      </c>
    </row>
    <row r="332" spans="1:18" x14ac:dyDescent="0.3">
      <c r="A332" s="85">
        <v>1</v>
      </c>
      <c r="C332" s="85">
        <f t="shared" si="25"/>
        <v>69</v>
      </c>
      <c r="D332" s="85">
        <f t="shared" si="26"/>
        <v>69</v>
      </c>
      <c r="E332" s="85">
        <f t="shared" si="27"/>
        <v>16</v>
      </c>
      <c r="F332" s="85" t="str">
        <f t="shared" si="28"/>
        <v>crx</v>
      </c>
      <c r="G332" s="85" t="s">
        <v>939</v>
      </c>
      <c r="H332" s="85" t="s">
        <v>442</v>
      </c>
      <c r="I332" s="85" t="s">
        <v>940</v>
      </c>
      <c r="K332" s="86">
        <f t="shared" si="29"/>
        <v>2228.0085930725259</v>
      </c>
      <c r="M332" s="86">
        <v>2200</v>
      </c>
      <c r="R332" s="85">
        <v>2228.0085930725259</v>
      </c>
    </row>
    <row r="333" spans="1:18" x14ac:dyDescent="0.3">
      <c r="A333" s="85">
        <v>1</v>
      </c>
      <c r="C333" s="85">
        <f t="shared" si="25"/>
        <v>70</v>
      </c>
      <c r="D333" s="85">
        <f t="shared" si="26"/>
        <v>70</v>
      </c>
      <c r="E333" s="85">
        <f t="shared" si="27"/>
        <v>16</v>
      </c>
      <c r="F333" s="85" t="str">
        <f t="shared" si="28"/>
        <v>crx</v>
      </c>
      <c r="G333" s="85" t="s">
        <v>941</v>
      </c>
      <c r="H333" s="85" t="s">
        <v>942</v>
      </c>
      <c r="I333" s="85" t="s">
        <v>943</v>
      </c>
      <c r="K333" s="86">
        <f t="shared" si="29"/>
        <v>2200</v>
      </c>
      <c r="M333" s="86">
        <v>2200</v>
      </c>
    </row>
    <row r="334" spans="1:18" x14ac:dyDescent="0.3">
      <c r="A334" s="85">
        <v>3</v>
      </c>
      <c r="C334" s="85">
        <f t="shared" si="25"/>
        <v>71</v>
      </c>
      <c r="D334" s="85">
        <f t="shared" si="26"/>
        <v>71</v>
      </c>
      <c r="E334" s="85">
        <f t="shared" si="27"/>
        <v>16</v>
      </c>
      <c r="F334" s="85" t="str">
        <f t="shared" si="28"/>
        <v>cr</v>
      </c>
      <c r="G334" s="85" t="s">
        <v>944</v>
      </c>
      <c r="H334" s="85" t="s">
        <v>628</v>
      </c>
      <c r="I334" s="85" t="s">
        <v>945</v>
      </c>
      <c r="K334" s="86">
        <f t="shared" si="29"/>
        <v>2253.5432271726222</v>
      </c>
      <c r="M334" s="86">
        <v>2200</v>
      </c>
      <c r="R334" s="85">
        <v>2253.5432271726222</v>
      </c>
    </row>
    <row r="335" spans="1:18" x14ac:dyDescent="0.3">
      <c r="A335" s="85">
        <v>3</v>
      </c>
      <c r="C335" s="85">
        <f t="shared" si="25"/>
        <v>72</v>
      </c>
      <c r="D335" s="85">
        <f t="shared" si="26"/>
        <v>72</v>
      </c>
      <c r="E335" s="85">
        <f t="shared" si="27"/>
        <v>16</v>
      </c>
      <c r="F335" s="85" t="str">
        <f t="shared" si="28"/>
        <v>cr</v>
      </c>
      <c r="G335" s="85" t="s">
        <v>372</v>
      </c>
      <c r="H335" s="85" t="s">
        <v>734</v>
      </c>
      <c r="I335" s="85" t="s">
        <v>373</v>
      </c>
      <c r="K335" s="86">
        <f t="shared" si="29"/>
        <v>2315.2987373706328</v>
      </c>
      <c r="M335" s="86">
        <v>2200</v>
      </c>
      <c r="N335" s="85">
        <v>2240.5106942467469</v>
      </c>
      <c r="R335" s="85">
        <v>2315.2987373706328</v>
      </c>
    </row>
    <row r="336" spans="1:18" x14ac:dyDescent="0.3">
      <c r="A336" s="85">
        <v>2</v>
      </c>
      <c r="C336" s="85">
        <f t="shared" si="25"/>
        <v>73</v>
      </c>
      <c r="D336" s="85">
        <f t="shared" si="26"/>
        <v>73</v>
      </c>
      <c r="E336" s="85">
        <f t="shared" si="27"/>
        <v>16</v>
      </c>
      <c r="F336" s="85" t="str">
        <f t="shared" si="28"/>
        <v>so</v>
      </c>
      <c r="G336" s="85" t="s">
        <v>946</v>
      </c>
      <c r="H336" s="85" t="s">
        <v>633</v>
      </c>
      <c r="I336" s="85" t="s">
        <v>947</v>
      </c>
      <c r="K336" s="86">
        <f t="shared" si="29"/>
        <v>2189.3610241924102</v>
      </c>
      <c r="M336" s="86">
        <v>2200</v>
      </c>
      <c r="R336" s="85">
        <v>2189.3610241924102</v>
      </c>
    </row>
    <row r="337" spans="1:18" x14ac:dyDescent="0.3">
      <c r="A337" s="85">
        <v>2</v>
      </c>
      <c r="C337" s="85">
        <f t="shared" si="25"/>
        <v>74</v>
      </c>
      <c r="D337" s="85">
        <f t="shared" si="26"/>
        <v>74</v>
      </c>
      <c r="E337" s="85">
        <f t="shared" si="27"/>
        <v>16</v>
      </c>
      <c r="F337" s="85" t="str">
        <f t="shared" si="28"/>
        <v>so</v>
      </c>
      <c r="G337" s="85" t="s">
        <v>948</v>
      </c>
      <c r="H337" s="85" t="s">
        <v>785</v>
      </c>
      <c r="I337" s="85" t="s">
        <v>949</v>
      </c>
      <c r="K337" s="86">
        <f t="shared" si="29"/>
        <v>2293.7871128671291</v>
      </c>
      <c r="M337" s="86">
        <v>2200</v>
      </c>
      <c r="R337" s="85">
        <v>2293.7871128671291</v>
      </c>
    </row>
    <row r="338" spans="1:18" x14ac:dyDescent="0.3">
      <c r="A338" s="85">
        <v>4</v>
      </c>
      <c r="C338" s="85">
        <f t="shared" si="25"/>
        <v>1</v>
      </c>
      <c r="D338" s="85">
        <f t="shared" si="26"/>
        <v>1</v>
      </c>
      <c r="E338" s="85">
        <f t="shared" si="27"/>
        <v>17</v>
      </c>
      <c r="F338" s="85" t="str">
        <f t="shared" si="28"/>
        <v>pm</v>
      </c>
      <c r="G338" s="85" t="s">
        <v>950</v>
      </c>
      <c r="H338" s="85" t="s">
        <v>144</v>
      </c>
      <c r="I338" s="85" t="s">
        <v>951</v>
      </c>
      <c r="K338" s="86">
        <f t="shared" si="29"/>
        <v>2728.6666577006049</v>
      </c>
      <c r="M338" s="86">
        <v>2800</v>
      </c>
      <c r="P338" s="85">
        <v>2728.6666577006049</v>
      </c>
    </row>
    <row r="339" spans="1:18" x14ac:dyDescent="0.3">
      <c r="A339" s="85">
        <v>5</v>
      </c>
      <c r="C339" s="85">
        <f t="shared" si="25"/>
        <v>2</v>
      </c>
      <c r="D339" s="85">
        <f t="shared" si="26"/>
        <v>2</v>
      </c>
      <c r="E339" s="85">
        <f t="shared" si="27"/>
        <v>17</v>
      </c>
      <c r="F339" s="85" t="str">
        <f t="shared" si="28"/>
        <v>pm</v>
      </c>
      <c r="G339" s="85" t="s">
        <v>398</v>
      </c>
      <c r="H339" s="85" t="s">
        <v>177</v>
      </c>
      <c r="I339" s="85" t="s">
        <v>399</v>
      </c>
      <c r="K339" s="86">
        <f t="shared" si="29"/>
        <v>2846.1776986685436</v>
      </c>
      <c r="M339" s="86">
        <v>2800</v>
      </c>
      <c r="P339" s="85">
        <v>2844.0129082224389</v>
      </c>
      <c r="Q339" s="85">
        <v>2846.1776986685436</v>
      </c>
    </row>
    <row r="340" spans="1:18" x14ac:dyDescent="0.3">
      <c r="A340" s="85">
        <v>7</v>
      </c>
      <c r="C340" s="85">
        <f t="shared" si="25"/>
        <v>3</v>
      </c>
      <c r="D340" s="85">
        <f t="shared" si="26"/>
        <v>3</v>
      </c>
      <c r="E340" s="85">
        <f t="shared" si="27"/>
        <v>17</v>
      </c>
      <c r="F340" s="85" t="str">
        <f t="shared" si="28"/>
        <v>pm</v>
      </c>
      <c r="G340" s="85" t="s">
        <v>952</v>
      </c>
      <c r="H340" s="85" t="s">
        <v>342</v>
      </c>
      <c r="I340" s="85" t="s">
        <v>953</v>
      </c>
      <c r="K340" s="86">
        <f t="shared" si="29"/>
        <v>2661.4968161956031</v>
      </c>
      <c r="M340" s="86">
        <v>2800</v>
      </c>
      <c r="O340" s="85">
        <v>2749.346112386957</v>
      </c>
      <c r="P340" s="85">
        <v>2714.9188943519134</v>
      </c>
      <c r="Q340" s="85">
        <v>2661.4968161956031</v>
      </c>
    </row>
    <row r="341" spans="1:18" x14ac:dyDescent="0.3">
      <c r="A341" s="85">
        <v>5</v>
      </c>
      <c r="C341" s="85">
        <f t="shared" si="25"/>
        <v>4</v>
      </c>
      <c r="D341" s="85">
        <f t="shared" si="26"/>
        <v>4</v>
      </c>
      <c r="E341" s="85">
        <f t="shared" si="27"/>
        <v>17</v>
      </c>
      <c r="F341" s="85" t="str">
        <f t="shared" si="28"/>
        <v>pm</v>
      </c>
      <c r="G341" s="85" t="s">
        <v>954</v>
      </c>
      <c r="H341" s="85" t="s">
        <v>186</v>
      </c>
      <c r="I341" s="85" t="s">
        <v>955</v>
      </c>
      <c r="K341" s="86">
        <f t="shared" si="29"/>
        <v>2767.0478498875204</v>
      </c>
      <c r="M341" s="86">
        <v>2800</v>
      </c>
      <c r="O341" s="85">
        <v>2742.4478838984464</v>
      </c>
      <c r="Q341" s="85">
        <v>2767.0478498875204</v>
      </c>
    </row>
    <row r="342" spans="1:18" x14ac:dyDescent="0.3">
      <c r="A342" s="85">
        <v>2</v>
      </c>
      <c r="C342" s="85">
        <f t="shared" si="25"/>
        <v>5</v>
      </c>
      <c r="D342" s="85">
        <f t="shared" si="26"/>
        <v>5</v>
      </c>
      <c r="E342" s="85">
        <f t="shared" si="27"/>
        <v>17</v>
      </c>
      <c r="F342" s="85" t="str">
        <f t="shared" si="28"/>
        <v>pm</v>
      </c>
      <c r="G342" s="85" t="s">
        <v>956</v>
      </c>
      <c r="H342" s="85" t="s">
        <v>760</v>
      </c>
      <c r="I342" s="85" t="s">
        <v>957</v>
      </c>
      <c r="K342" s="86">
        <f t="shared" si="29"/>
        <v>2728.0482900884726</v>
      </c>
      <c r="M342" s="86">
        <v>2800</v>
      </c>
      <c r="Q342" s="85">
        <v>2728.0482900884726</v>
      </c>
    </row>
    <row r="343" spans="1:18" x14ac:dyDescent="0.3">
      <c r="A343" s="85">
        <v>2</v>
      </c>
      <c r="C343" s="85">
        <f t="shared" si="25"/>
        <v>6</v>
      </c>
      <c r="D343" s="85">
        <f t="shared" si="26"/>
        <v>6</v>
      </c>
      <c r="E343" s="85">
        <f t="shared" si="27"/>
        <v>17</v>
      </c>
      <c r="F343" s="85" t="str">
        <f t="shared" si="28"/>
        <v>pm</v>
      </c>
      <c r="G343" s="85" t="s">
        <v>401</v>
      </c>
      <c r="H343" s="85" t="s">
        <v>497</v>
      </c>
      <c r="I343" s="85" t="s">
        <v>958</v>
      </c>
      <c r="K343" s="86">
        <f t="shared" si="29"/>
        <v>2989.1118009591082</v>
      </c>
      <c r="M343" s="86">
        <v>2800</v>
      </c>
      <c r="P343" s="85">
        <v>2938.7757085360536</v>
      </c>
      <c r="Q343" s="85">
        <v>2989.1118009591082</v>
      </c>
    </row>
    <row r="344" spans="1:18" x14ac:dyDescent="0.3">
      <c r="A344" s="85">
        <v>2</v>
      </c>
      <c r="C344" s="85">
        <f t="shared" si="25"/>
        <v>7</v>
      </c>
      <c r="D344" s="85">
        <f t="shared" si="26"/>
        <v>7</v>
      </c>
      <c r="E344" s="85">
        <f t="shared" si="27"/>
        <v>17</v>
      </c>
      <c r="F344" s="85" t="str">
        <f t="shared" si="28"/>
        <v>pm</v>
      </c>
      <c r="G344" s="85" t="s">
        <v>402</v>
      </c>
      <c r="H344" s="85" t="s">
        <v>167</v>
      </c>
      <c r="I344" s="85" t="s">
        <v>959</v>
      </c>
      <c r="K344" s="86">
        <f t="shared" si="29"/>
        <v>2884.1231986417042</v>
      </c>
      <c r="M344" s="86">
        <v>2800</v>
      </c>
      <c r="Q344" s="85">
        <v>2884.1231986417042</v>
      </c>
    </row>
    <row r="345" spans="1:18" x14ac:dyDescent="0.3">
      <c r="A345" s="85">
        <v>5</v>
      </c>
      <c r="C345" s="85">
        <f t="shared" si="25"/>
        <v>8</v>
      </c>
      <c r="D345" s="85">
        <f t="shared" si="26"/>
        <v>8</v>
      </c>
      <c r="E345" s="85">
        <f t="shared" si="27"/>
        <v>17</v>
      </c>
      <c r="F345" s="85" t="str">
        <f t="shared" si="28"/>
        <v>pm</v>
      </c>
      <c r="G345" s="85" t="s">
        <v>403</v>
      </c>
      <c r="H345" s="85" t="s">
        <v>167</v>
      </c>
      <c r="I345" s="85" t="s">
        <v>960</v>
      </c>
      <c r="K345" s="86">
        <f t="shared" si="29"/>
        <v>2740.3722874626756</v>
      </c>
      <c r="M345" s="86">
        <v>2800</v>
      </c>
      <c r="O345" s="85">
        <v>2776.2225468947754</v>
      </c>
      <c r="Q345" s="85">
        <v>2740.3722874626756</v>
      </c>
    </row>
    <row r="346" spans="1:18" x14ac:dyDescent="0.3">
      <c r="A346" s="85">
        <v>3</v>
      </c>
      <c r="C346" s="85">
        <f t="shared" si="25"/>
        <v>9</v>
      </c>
      <c r="D346" s="85">
        <f t="shared" si="26"/>
        <v>9</v>
      </c>
      <c r="E346" s="85">
        <f t="shared" si="27"/>
        <v>17</v>
      </c>
      <c r="F346" s="85" t="str">
        <f t="shared" si="28"/>
        <v>pm</v>
      </c>
      <c r="G346" s="85" t="s">
        <v>961</v>
      </c>
      <c r="H346" s="85" t="s">
        <v>502</v>
      </c>
      <c r="I346" s="85" t="s">
        <v>962</v>
      </c>
      <c r="K346" s="86">
        <f t="shared" si="29"/>
        <v>2800</v>
      </c>
      <c r="M346" s="86">
        <v>2800</v>
      </c>
    </row>
    <row r="347" spans="1:18" x14ac:dyDescent="0.3">
      <c r="A347" s="85">
        <v>2</v>
      </c>
      <c r="C347" s="85">
        <f t="shared" si="25"/>
        <v>10</v>
      </c>
      <c r="D347" s="85">
        <f t="shared" si="26"/>
        <v>10</v>
      </c>
      <c r="E347" s="85">
        <f t="shared" si="27"/>
        <v>17</v>
      </c>
      <c r="F347" s="85" t="str">
        <f t="shared" si="28"/>
        <v>cr</v>
      </c>
      <c r="G347" s="85" t="s">
        <v>963</v>
      </c>
      <c r="H347" s="85" t="s">
        <v>495</v>
      </c>
      <c r="I347" s="85" t="s">
        <v>964</v>
      </c>
      <c r="K347" s="86">
        <f t="shared" si="29"/>
        <v>2834.658355825698</v>
      </c>
      <c r="M347" s="86">
        <v>2800</v>
      </c>
      <c r="O347" s="85">
        <v>2834.658355825698</v>
      </c>
    </row>
    <row r="348" spans="1:18" x14ac:dyDescent="0.3">
      <c r="A348" s="85">
        <v>1</v>
      </c>
      <c r="C348" s="85">
        <f t="shared" si="25"/>
        <v>11</v>
      </c>
      <c r="D348" s="85">
        <f t="shared" si="26"/>
        <v>11</v>
      </c>
      <c r="E348" s="85">
        <f t="shared" si="27"/>
        <v>17</v>
      </c>
      <c r="F348" s="85" t="str">
        <f t="shared" si="28"/>
        <v>crx</v>
      </c>
      <c r="G348" s="85" t="s">
        <v>965</v>
      </c>
      <c r="H348" s="85" t="s">
        <v>579</v>
      </c>
      <c r="I348" s="85" t="s">
        <v>966</v>
      </c>
      <c r="K348" s="86">
        <f t="shared" si="29"/>
        <v>2800</v>
      </c>
      <c r="M348" s="86">
        <v>2800</v>
      </c>
    </row>
    <row r="349" spans="1:18" x14ac:dyDescent="0.3">
      <c r="A349" s="85">
        <v>1</v>
      </c>
      <c r="C349" s="85">
        <f t="shared" si="25"/>
        <v>12</v>
      </c>
      <c r="D349" s="85">
        <f t="shared" si="26"/>
        <v>11</v>
      </c>
      <c r="E349" s="85">
        <f t="shared" si="27"/>
        <v>17</v>
      </c>
      <c r="F349" s="85" t="str">
        <f t="shared" si="28"/>
        <v>sox</v>
      </c>
      <c r="G349" s="85" t="s">
        <v>967</v>
      </c>
      <c r="H349" s="85" t="s">
        <v>785</v>
      </c>
      <c r="I349" s="85" t="s">
        <v>968</v>
      </c>
      <c r="K349" s="86">
        <f t="shared" si="29"/>
        <v>2800</v>
      </c>
      <c r="M349" s="86">
        <v>2800</v>
      </c>
    </row>
    <row r="350" spans="1:18" x14ac:dyDescent="0.3">
      <c r="A350" s="85">
        <v>1</v>
      </c>
      <c r="C350" s="85">
        <f t="shared" si="25"/>
        <v>13</v>
      </c>
      <c r="D350" s="85">
        <f t="shared" si="26"/>
        <v>11</v>
      </c>
      <c r="E350" s="85">
        <f t="shared" si="27"/>
        <v>17</v>
      </c>
      <c r="F350" s="85" t="str">
        <f t="shared" si="28"/>
        <v>sox</v>
      </c>
      <c r="G350" s="85" t="s">
        <v>440</v>
      </c>
      <c r="H350" s="85" t="s">
        <v>785</v>
      </c>
      <c r="I350" s="85" t="s">
        <v>969</v>
      </c>
      <c r="K350" s="86">
        <f t="shared" si="29"/>
        <v>2800</v>
      </c>
      <c r="M350" s="86">
        <v>2800</v>
      </c>
    </row>
    <row r="351" spans="1:18" x14ac:dyDescent="0.3">
      <c r="A351" s="85">
        <v>2</v>
      </c>
      <c r="C351" s="85">
        <f t="shared" si="25"/>
        <v>14</v>
      </c>
      <c r="D351" s="85">
        <f t="shared" si="26"/>
        <v>11</v>
      </c>
      <c r="E351" s="85">
        <f t="shared" si="27"/>
        <v>17</v>
      </c>
      <c r="F351" s="85" t="str">
        <f t="shared" si="28"/>
        <v>pm</v>
      </c>
      <c r="G351" s="85" t="s">
        <v>400</v>
      </c>
      <c r="H351" s="85" t="s">
        <v>186</v>
      </c>
      <c r="I351" s="85" t="s">
        <v>970</v>
      </c>
      <c r="K351" s="86">
        <f t="shared" si="29"/>
        <v>2800</v>
      </c>
      <c r="M351" s="86">
        <v>2800</v>
      </c>
    </row>
    <row r="352" spans="1:18" x14ac:dyDescent="0.3">
      <c r="A352" s="85">
        <v>4</v>
      </c>
      <c r="C352" s="85">
        <f t="shared" si="25"/>
        <v>15</v>
      </c>
      <c r="D352" s="85">
        <f t="shared" si="26"/>
        <v>15</v>
      </c>
      <c r="E352" s="85">
        <f t="shared" si="27"/>
        <v>17</v>
      </c>
      <c r="F352" s="85" t="str">
        <f t="shared" si="28"/>
        <v>so</v>
      </c>
      <c r="G352" s="85" t="s">
        <v>971</v>
      </c>
      <c r="H352" s="85" t="s">
        <v>746</v>
      </c>
      <c r="I352" s="85" t="s">
        <v>972</v>
      </c>
      <c r="K352" s="86">
        <f t="shared" si="29"/>
        <v>2773.7981839155022</v>
      </c>
      <c r="M352" s="86">
        <v>2700</v>
      </c>
      <c r="O352" s="85">
        <v>2773.7981839155022</v>
      </c>
    </row>
    <row r="353" spans="1:18" x14ac:dyDescent="0.3">
      <c r="A353" s="85">
        <v>2</v>
      </c>
      <c r="C353" s="85">
        <f t="shared" si="25"/>
        <v>16</v>
      </c>
      <c r="D353" s="85">
        <f t="shared" si="26"/>
        <v>16</v>
      </c>
      <c r="E353" s="85">
        <f t="shared" si="27"/>
        <v>17</v>
      </c>
      <c r="F353" s="85" t="str">
        <f t="shared" si="28"/>
        <v>pm</v>
      </c>
      <c r="G353" s="85" t="s">
        <v>405</v>
      </c>
      <c r="H353" s="85" t="s">
        <v>277</v>
      </c>
      <c r="I353" s="85" t="s">
        <v>406</v>
      </c>
      <c r="K353" s="86">
        <f t="shared" si="29"/>
        <v>2649.6936331387928</v>
      </c>
      <c r="M353" s="86">
        <v>2600</v>
      </c>
      <c r="N353" s="85">
        <v>2649.6936331387928</v>
      </c>
    </row>
    <row r="354" spans="1:18" x14ac:dyDescent="0.3">
      <c r="A354" s="85">
        <v>6</v>
      </c>
      <c r="C354" s="85">
        <f t="shared" si="25"/>
        <v>17</v>
      </c>
      <c r="D354" s="85">
        <f t="shared" si="26"/>
        <v>17</v>
      </c>
      <c r="E354" s="85">
        <f t="shared" si="27"/>
        <v>17</v>
      </c>
      <c r="F354" s="85" t="str">
        <f t="shared" si="28"/>
        <v>pm</v>
      </c>
      <c r="G354" s="85" t="s">
        <v>407</v>
      </c>
      <c r="H354" s="85" t="s">
        <v>308</v>
      </c>
      <c r="I354" s="85" t="s">
        <v>408</v>
      </c>
      <c r="K354" s="86">
        <f t="shared" si="29"/>
        <v>2603.5447609677722</v>
      </c>
      <c r="M354" s="86">
        <v>2600</v>
      </c>
      <c r="P354" s="85">
        <v>2603.5447609677722</v>
      </c>
    </row>
    <row r="355" spans="1:18" x14ac:dyDescent="0.3">
      <c r="A355" s="85">
        <v>2</v>
      </c>
      <c r="C355" s="85">
        <f t="shared" si="25"/>
        <v>18</v>
      </c>
      <c r="D355" s="85">
        <f t="shared" si="26"/>
        <v>18</v>
      </c>
      <c r="E355" s="85">
        <f t="shared" si="27"/>
        <v>17</v>
      </c>
      <c r="F355" s="85" t="str">
        <f t="shared" si="28"/>
        <v>pm</v>
      </c>
      <c r="G355" s="85" t="s">
        <v>404</v>
      </c>
      <c r="H355" s="85" t="s">
        <v>159</v>
      </c>
      <c r="I355" s="85" t="s">
        <v>973</v>
      </c>
      <c r="K355" s="86">
        <f t="shared" si="29"/>
        <v>2600</v>
      </c>
      <c r="M355" s="86">
        <v>2600</v>
      </c>
    </row>
    <row r="356" spans="1:18" x14ac:dyDescent="0.3">
      <c r="A356" s="85">
        <v>2</v>
      </c>
      <c r="C356" s="85">
        <f t="shared" si="25"/>
        <v>19</v>
      </c>
      <c r="D356" s="85">
        <f t="shared" si="26"/>
        <v>18</v>
      </c>
      <c r="E356" s="85">
        <f t="shared" si="27"/>
        <v>17</v>
      </c>
      <c r="F356" s="85" t="str">
        <f t="shared" si="28"/>
        <v>fl</v>
      </c>
      <c r="G356" s="85" t="s">
        <v>974</v>
      </c>
      <c r="H356" s="85" t="s">
        <v>803</v>
      </c>
      <c r="I356" s="85" t="s">
        <v>975</v>
      </c>
      <c r="K356" s="86">
        <f t="shared" si="29"/>
        <v>2600</v>
      </c>
      <c r="M356" s="86">
        <v>2600</v>
      </c>
    </row>
    <row r="357" spans="1:18" x14ac:dyDescent="0.3">
      <c r="A357" s="85">
        <v>3</v>
      </c>
      <c r="C357" s="85">
        <f t="shared" si="25"/>
        <v>20</v>
      </c>
      <c r="D357" s="85">
        <f t="shared" si="26"/>
        <v>20</v>
      </c>
      <c r="E357" s="85">
        <f t="shared" si="27"/>
        <v>17</v>
      </c>
      <c r="F357" s="85" t="str">
        <f t="shared" si="28"/>
        <v>pm</v>
      </c>
      <c r="G357" s="85" t="s">
        <v>976</v>
      </c>
      <c r="H357" s="85" t="s">
        <v>679</v>
      </c>
      <c r="I357" s="85" t="s">
        <v>977</v>
      </c>
      <c r="K357" s="86">
        <f t="shared" si="29"/>
        <v>2580.1320661181762</v>
      </c>
      <c r="M357" s="86">
        <v>2533.3333333333335</v>
      </c>
      <c r="Q357" s="85">
        <v>2580.1320661181762</v>
      </c>
    </row>
    <row r="358" spans="1:18" ht="16.2" customHeight="1" x14ac:dyDescent="0.3">
      <c r="A358" s="85">
        <v>6</v>
      </c>
      <c r="C358" s="85">
        <f t="shared" si="25"/>
        <v>21</v>
      </c>
      <c r="D358" s="85">
        <f t="shared" si="26"/>
        <v>21</v>
      </c>
      <c r="E358" s="85">
        <f t="shared" si="27"/>
        <v>17</v>
      </c>
      <c r="F358" s="85" t="str">
        <f t="shared" si="28"/>
        <v>pm</v>
      </c>
      <c r="G358" s="85" t="s">
        <v>978</v>
      </c>
      <c r="H358" s="85" t="s">
        <v>549</v>
      </c>
      <c r="I358" s="85" t="s">
        <v>979</v>
      </c>
      <c r="K358" s="86">
        <f t="shared" si="29"/>
        <v>2491.6842530997037</v>
      </c>
      <c r="M358" s="86">
        <v>2466.6666666666665</v>
      </c>
      <c r="N358" s="85">
        <v>2433.3004749481729</v>
      </c>
      <c r="P358" s="85">
        <v>2500.4482807265576</v>
      </c>
      <c r="R358" s="85">
        <v>2491.6842530997037</v>
      </c>
    </row>
    <row r="359" spans="1:18" x14ac:dyDescent="0.3">
      <c r="A359" s="85">
        <v>4</v>
      </c>
      <c r="C359" s="85">
        <f>IF(E359=E394,C394+1,1)</f>
        <v>1</v>
      </c>
      <c r="D359" s="85">
        <f>IF(K359=K394,D394,C359)</f>
        <v>1</v>
      </c>
      <c r="E359" s="85">
        <f t="shared" si="27"/>
        <v>17</v>
      </c>
      <c r="F359" s="85" t="str">
        <f t="shared" si="28"/>
        <v>pm</v>
      </c>
      <c r="G359" s="85" t="s">
        <v>980</v>
      </c>
      <c r="H359" s="85" t="s">
        <v>339</v>
      </c>
      <c r="I359" s="85" t="s">
        <v>981</v>
      </c>
      <c r="K359" s="86">
        <f t="shared" si="29"/>
        <v>2323.6703423752951</v>
      </c>
      <c r="M359" s="86">
        <v>2400</v>
      </c>
      <c r="N359" s="85">
        <v>2323.6703423752951</v>
      </c>
    </row>
    <row r="360" spans="1:18" x14ac:dyDescent="0.3">
      <c r="A360" s="85">
        <v>2</v>
      </c>
      <c r="C360" s="85">
        <f t="shared" si="25"/>
        <v>2</v>
      </c>
      <c r="D360" s="85">
        <f t="shared" si="26"/>
        <v>2</v>
      </c>
      <c r="E360" s="85">
        <f t="shared" si="27"/>
        <v>17</v>
      </c>
      <c r="F360" s="85" t="str">
        <f t="shared" si="28"/>
        <v>pm</v>
      </c>
      <c r="G360" s="85" t="s">
        <v>982</v>
      </c>
      <c r="H360" s="85" t="s">
        <v>519</v>
      </c>
      <c r="I360" s="85" t="s">
        <v>983</v>
      </c>
      <c r="K360" s="86">
        <f t="shared" si="29"/>
        <v>2453.5852950581061</v>
      </c>
      <c r="M360" s="86">
        <v>2400</v>
      </c>
      <c r="N360" s="85">
        <v>2443.9246853858785</v>
      </c>
      <c r="R360" s="85">
        <v>2453.5852950581061</v>
      </c>
    </row>
    <row r="361" spans="1:18" x14ac:dyDescent="0.3">
      <c r="A361" s="85">
        <v>4</v>
      </c>
      <c r="C361" s="85">
        <f t="shared" si="25"/>
        <v>3</v>
      </c>
      <c r="D361" s="85">
        <f t="shared" si="26"/>
        <v>3</v>
      </c>
      <c r="E361" s="85">
        <f t="shared" si="27"/>
        <v>17</v>
      </c>
      <c r="F361" s="85" t="str">
        <f t="shared" si="28"/>
        <v>pm</v>
      </c>
      <c r="G361" s="85" t="s">
        <v>409</v>
      </c>
      <c r="H361" s="85" t="s">
        <v>182</v>
      </c>
      <c r="I361" s="85" t="s">
        <v>410</v>
      </c>
      <c r="K361" s="86">
        <f t="shared" si="29"/>
        <v>2341.6884744426316</v>
      </c>
      <c r="M361" s="86">
        <v>2400</v>
      </c>
      <c r="N361" s="85">
        <v>2346.5420003592371</v>
      </c>
      <c r="R361" s="85">
        <v>2341.6884744426316</v>
      </c>
    </row>
    <row r="362" spans="1:18" x14ac:dyDescent="0.3">
      <c r="A362" s="85">
        <v>6</v>
      </c>
      <c r="C362" s="85">
        <f t="shared" si="25"/>
        <v>4</v>
      </c>
      <c r="D362" s="85">
        <f t="shared" si="26"/>
        <v>4</v>
      </c>
      <c r="E362" s="85">
        <f t="shared" si="27"/>
        <v>17</v>
      </c>
      <c r="F362" s="85" t="str">
        <f t="shared" si="28"/>
        <v>pm</v>
      </c>
      <c r="G362" s="85" t="s">
        <v>984</v>
      </c>
      <c r="H362" s="85" t="s">
        <v>186</v>
      </c>
      <c r="I362" s="85" t="s">
        <v>985</v>
      </c>
      <c r="K362" s="86">
        <f t="shared" si="29"/>
        <v>2271.5086478264498</v>
      </c>
      <c r="M362" s="86">
        <v>2400</v>
      </c>
      <c r="P362" s="85">
        <v>2355.1523846005416</v>
      </c>
      <c r="R362" s="85">
        <v>2271.5086478264498</v>
      </c>
    </row>
    <row r="363" spans="1:18" x14ac:dyDescent="0.3">
      <c r="A363" s="85">
        <v>2</v>
      </c>
      <c r="C363" s="85">
        <f t="shared" si="25"/>
        <v>5</v>
      </c>
      <c r="D363" s="85">
        <f t="shared" si="26"/>
        <v>5</v>
      </c>
      <c r="E363" s="85">
        <f t="shared" si="27"/>
        <v>17</v>
      </c>
      <c r="F363" s="85" t="str">
        <f t="shared" si="28"/>
        <v>pm</v>
      </c>
      <c r="G363" s="85" t="s">
        <v>986</v>
      </c>
      <c r="H363" s="85" t="s">
        <v>235</v>
      </c>
      <c r="I363" s="85" t="s">
        <v>987</v>
      </c>
      <c r="K363" s="86">
        <f t="shared" si="29"/>
        <v>2400</v>
      </c>
      <c r="M363" s="86">
        <v>2400</v>
      </c>
    </row>
    <row r="364" spans="1:18" x14ac:dyDescent="0.3">
      <c r="A364" s="85">
        <v>6</v>
      </c>
      <c r="C364" s="85">
        <f t="shared" si="25"/>
        <v>6</v>
      </c>
      <c r="D364" s="85">
        <f t="shared" si="26"/>
        <v>6</v>
      </c>
      <c r="E364" s="85">
        <f t="shared" si="27"/>
        <v>17</v>
      </c>
      <c r="F364" s="85" t="str">
        <f t="shared" si="28"/>
        <v>pm</v>
      </c>
      <c r="G364" s="85" t="s">
        <v>411</v>
      </c>
      <c r="H364" s="85" t="s">
        <v>167</v>
      </c>
      <c r="I364" s="85" t="s">
        <v>412</v>
      </c>
      <c r="K364" s="86">
        <f t="shared" si="29"/>
        <v>2378.9033097063116</v>
      </c>
      <c r="M364" s="86">
        <v>2400</v>
      </c>
      <c r="P364" s="85">
        <v>2442.0548160773888</v>
      </c>
      <c r="R364" s="85">
        <v>2378.9033097063116</v>
      </c>
    </row>
    <row r="365" spans="1:18" x14ac:dyDescent="0.3">
      <c r="A365" s="85">
        <v>1</v>
      </c>
      <c r="C365" s="85">
        <f t="shared" si="25"/>
        <v>7</v>
      </c>
      <c r="D365" s="85">
        <f t="shared" si="26"/>
        <v>7</v>
      </c>
      <c r="E365" s="85">
        <f t="shared" si="27"/>
        <v>17</v>
      </c>
      <c r="F365" s="85" t="str">
        <f t="shared" si="28"/>
        <v>crx</v>
      </c>
      <c r="G365" s="85" t="s">
        <v>988</v>
      </c>
      <c r="H365" s="85" t="s">
        <v>717</v>
      </c>
      <c r="I365" s="85" t="s">
        <v>989</v>
      </c>
      <c r="K365" s="86">
        <f t="shared" si="29"/>
        <v>2477.4754086221396</v>
      </c>
      <c r="M365" s="86">
        <v>2400</v>
      </c>
      <c r="N365" s="85">
        <v>2477.4754086221396</v>
      </c>
    </row>
    <row r="366" spans="1:18" x14ac:dyDescent="0.3">
      <c r="A366" s="85">
        <v>3</v>
      </c>
      <c r="C366" s="85">
        <f t="shared" si="25"/>
        <v>8</v>
      </c>
      <c r="D366" s="85">
        <f t="shared" si="26"/>
        <v>8</v>
      </c>
      <c r="E366" s="85">
        <f t="shared" si="27"/>
        <v>17</v>
      </c>
      <c r="F366" s="85" t="str">
        <f t="shared" si="28"/>
        <v>cr</v>
      </c>
      <c r="G366" s="85" t="s">
        <v>990</v>
      </c>
      <c r="H366" s="85" t="s">
        <v>495</v>
      </c>
      <c r="I366" s="85" t="s">
        <v>991</v>
      </c>
      <c r="K366" s="86">
        <f t="shared" si="29"/>
        <v>2483.8405058726657</v>
      </c>
      <c r="M366" s="86">
        <v>2400</v>
      </c>
      <c r="R366" s="85">
        <v>2483.8405058726657</v>
      </c>
    </row>
    <row r="367" spans="1:18" x14ac:dyDescent="0.3">
      <c r="A367" s="85">
        <v>1</v>
      </c>
      <c r="C367" s="85">
        <f t="shared" si="25"/>
        <v>9</v>
      </c>
      <c r="D367" s="85">
        <f t="shared" si="26"/>
        <v>9</v>
      </c>
      <c r="E367" s="85">
        <f t="shared" si="27"/>
        <v>17</v>
      </c>
      <c r="F367" s="85" t="str">
        <f t="shared" si="28"/>
        <v>crx</v>
      </c>
      <c r="G367" s="85" t="s">
        <v>992</v>
      </c>
      <c r="H367" s="85" t="s">
        <v>993</v>
      </c>
      <c r="I367" s="85" t="s">
        <v>994</v>
      </c>
      <c r="K367" s="86">
        <f t="shared" si="29"/>
        <v>2400</v>
      </c>
      <c r="M367" s="86">
        <v>2400</v>
      </c>
    </row>
    <row r="368" spans="1:18" x14ac:dyDescent="0.3">
      <c r="A368" s="85">
        <v>1</v>
      </c>
      <c r="C368" s="85">
        <f t="shared" si="25"/>
        <v>10</v>
      </c>
      <c r="D368" s="85">
        <f t="shared" si="26"/>
        <v>9</v>
      </c>
      <c r="E368" s="85">
        <f t="shared" si="27"/>
        <v>17</v>
      </c>
      <c r="F368" s="85" t="str">
        <f t="shared" si="28"/>
        <v>crx</v>
      </c>
      <c r="G368" s="85" t="s">
        <v>445</v>
      </c>
      <c r="H368" s="85" t="s">
        <v>490</v>
      </c>
      <c r="I368" s="85" t="s">
        <v>995</v>
      </c>
      <c r="K368" s="86">
        <f t="shared" si="29"/>
        <v>2400</v>
      </c>
      <c r="M368" s="86">
        <v>2400</v>
      </c>
    </row>
    <row r="369" spans="1:18" x14ac:dyDescent="0.3">
      <c r="A369" s="85">
        <v>2</v>
      </c>
      <c r="C369" s="85">
        <f t="shared" si="25"/>
        <v>11</v>
      </c>
      <c r="D369" s="85">
        <f t="shared" si="26"/>
        <v>11</v>
      </c>
      <c r="E369" s="85">
        <f t="shared" si="27"/>
        <v>17</v>
      </c>
      <c r="F369" s="85" t="str">
        <f t="shared" si="28"/>
        <v>so</v>
      </c>
      <c r="G369" s="85" t="s">
        <v>996</v>
      </c>
      <c r="H369" s="85" t="s">
        <v>746</v>
      </c>
      <c r="I369" s="85" t="s">
        <v>997</v>
      </c>
      <c r="K369" s="86">
        <f t="shared" si="29"/>
        <v>2357.8385670612843</v>
      </c>
      <c r="M369" s="86">
        <v>2400</v>
      </c>
      <c r="R369" s="85">
        <v>2357.8385670612843</v>
      </c>
    </row>
    <row r="370" spans="1:18" x14ac:dyDescent="0.3">
      <c r="A370" s="85">
        <v>3</v>
      </c>
      <c r="C370" s="85">
        <f t="shared" si="25"/>
        <v>1</v>
      </c>
      <c r="D370" s="85">
        <f t="shared" si="26"/>
        <v>1</v>
      </c>
      <c r="E370" s="85">
        <f t="shared" si="27"/>
        <v>18</v>
      </c>
      <c r="F370" s="85" t="str">
        <f t="shared" si="28"/>
        <v>pm</v>
      </c>
      <c r="G370" s="85" t="s">
        <v>998</v>
      </c>
      <c r="H370" s="85" t="s">
        <v>308</v>
      </c>
      <c r="I370" s="85" t="s">
        <v>999</v>
      </c>
      <c r="K370" s="86">
        <f t="shared" si="29"/>
        <v>2978.3300211488763</v>
      </c>
      <c r="M370" s="86">
        <v>3000</v>
      </c>
      <c r="Q370" s="85">
        <v>2978.3300211488763</v>
      </c>
    </row>
    <row r="371" spans="1:18" x14ac:dyDescent="0.3">
      <c r="A371" s="85">
        <v>1</v>
      </c>
      <c r="C371" s="85">
        <f t="shared" si="25"/>
        <v>2</v>
      </c>
      <c r="D371" s="85">
        <f t="shared" si="26"/>
        <v>2</v>
      </c>
      <c r="E371" s="85">
        <f t="shared" si="27"/>
        <v>18</v>
      </c>
      <c r="F371" s="85" t="str">
        <f t="shared" si="28"/>
        <v>pmx</v>
      </c>
      <c r="G371" s="85" t="s">
        <v>413</v>
      </c>
      <c r="H371" s="85" t="s">
        <v>147</v>
      </c>
      <c r="I371" s="85" t="s">
        <v>1000</v>
      </c>
      <c r="K371" s="86">
        <f t="shared" si="29"/>
        <v>3011.156851018934</v>
      </c>
      <c r="M371" s="86">
        <v>3000</v>
      </c>
      <c r="P371" s="85">
        <v>3011.156851018934</v>
      </c>
    </row>
    <row r="372" spans="1:18" x14ac:dyDescent="0.3">
      <c r="A372" s="85">
        <v>3</v>
      </c>
      <c r="C372" s="85">
        <f t="shared" si="25"/>
        <v>3</v>
      </c>
      <c r="D372" s="85">
        <f t="shared" si="26"/>
        <v>3</v>
      </c>
      <c r="E372" s="85">
        <f t="shared" si="27"/>
        <v>18</v>
      </c>
      <c r="F372" s="85" t="str">
        <f t="shared" si="28"/>
        <v>pm</v>
      </c>
      <c r="G372" s="85" t="s">
        <v>415</v>
      </c>
      <c r="H372" s="85" t="s">
        <v>144</v>
      </c>
      <c r="I372" s="85" t="s">
        <v>1001</v>
      </c>
      <c r="K372" s="86">
        <f t="shared" si="29"/>
        <v>3052.4034884576249</v>
      </c>
      <c r="M372" s="86">
        <v>3000</v>
      </c>
      <c r="P372" s="85">
        <v>3052.4034884576249</v>
      </c>
    </row>
    <row r="373" spans="1:18" x14ac:dyDescent="0.3">
      <c r="A373" s="85">
        <v>7</v>
      </c>
      <c r="C373" s="85">
        <f t="shared" si="25"/>
        <v>4</v>
      </c>
      <c r="D373" s="85">
        <f t="shared" si="26"/>
        <v>4</v>
      </c>
      <c r="E373" s="85">
        <f t="shared" si="27"/>
        <v>18</v>
      </c>
      <c r="F373" s="85" t="str">
        <f t="shared" si="28"/>
        <v>pm</v>
      </c>
      <c r="G373" s="85" t="s">
        <v>417</v>
      </c>
      <c r="H373" s="85" t="s">
        <v>153</v>
      </c>
      <c r="I373" s="85" t="s">
        <v>1002</v>
      </c>
      <c r="K373" s="86">
        <f t="shared" si="29"/>
        <v>3057.8410454728637</v>
      </c>
      <c r="M373" s="86">
        <v>3000</v>
      </c>
      <c r="O373" s="85">
        <v>3041.9807671510221</v>
      </c>
      <c r="P373" s="85">
        <v>3057.8410454728637</v>
      </c>
    </row>
    <row r="374" spans="1:18" x14ac:dyDescent="0.3">
      <c r="A374" s="85">
        <v>7</v>
      </c>
      <c r="C374" s="85">
        <f t="shared" si="25"/>
        <v>5</v>
      </c>
      <c r="D374" s="85">
        <f t="shared" si="26"/>
        <v>5</v>
      </c>
      <c r="E374" s="85">
        <f t="shared" si="27"/>
        <v>18</v>
      </c>
      <c r="F374" s="85" t="str">
        <f t="shared" si="28"/>
        <v>pm</v>
      </c>
      <c r="G374" s="85" t="s">
        <v>1003</v>
      </c>
      <c r="H374" s="85" t="s">
        <v>153</v>
      </c>
      <c r="I374" s="85" t="s">
        <v>1004</v>
      </c>
      <c r="K374" s="86">
        <f t="shared" si="29"/>
        <v>2826.6418767257228</v>
      </c>
      <c r="M374" s="86">
        <v>3000</v>
      </c>
      <c r="O374" s="85">
        <v>2918.7916428536187</v>
      </c>
      <c r="P374" s="85">
        <v>2862.3746207039353</v>
      </c>
      <c r="Q374" s="85">
        <v>2826.6418767257228</v>
      </c>
    </row>
    <row r="375" spans="1:18" x14ac:dyDescent="0.3">
      <c r="A375" s="85">
        <v>2</v>
      </c>
      <c r="C375" s="85">
        <f t="shared" si="25"/>
        <v>6</v>
      </c>
      <c r="D375" s="85">
        <f t="shared" si="26"/>
        <v>6</v>
      </c>
      <c r="E375" s="85">
        <f t="shared" si="27"/>
        <v>18</v>
      </c>
      <c r="F375" s="85" t="str">
        <f t="shared" si="28"/>
        <v>pm</v>
      </c>
      <c r="G375" s="85" t="s">
        <v>418</v>
      </c>
      <c r="H375" s="85" t="s">
        <v>258</v>
      </c>
      <c r="I375" s="85" t="s">
        <v>1005</v>
      </c>
      <c r="K375" s="86">
        <f t="shared" si="29"/>
        <v>2940.4015103432962</v>
      </c>
      <c r="M375" s="86">
        <v>3000</v>
      </c>
      <c r="P375" s="85">
        <v>2940.4015103432962</v>
      </c>
    </row>
    <row r="376" spans="1:18" x14ac:dyDescent="0.3">
      <c r="A376" s="85">
        <v>5</v>
      </c>
      <c r="C376" s="85">
        <f t="shared" si="25"/>
        <v>7</v>
      </c>
      <c r="D376" s="85">
        <f t="shared" si="26"/>
        <v>7</v>
      </c>
      <c r="E376" s="85">
        <f t="shared" si="27"/>
        <v>18</v>
      </c>
      <c r="F376" s="85" t="str">
        <f t="shared" si="28"/>
        <v>pm</v>
      </c>
      <c r="G376" s="85" t="s">
        <v>1006</v>
      </c>
      <c r="H376" s="85" t="s">
        <v>236</v>
      </c>
      <c r="I376" s="85" t="s">
        <v>1007</v>
      </c>
      <c r="K376" s="86">
        <f t="shared" si="29"/>
        <v>2995.9428308489555</v>
      </c>
      <c r="M376" s="86">
        <v>3000</v>
      </c>
      <c r="P376" s="85">
        <v>2995.9428308489555</v>
      </c>
    </row>
    <row r="377" spans="1:18" x14ac:dyDescent="0.3">
      <c r="A377" s="85">
        <v>2</v>
      </c>
      <c r="C377" s="85">
        <f t="shared" si="25"/>
        <v>8</v>
      </c>
      <c r="D377" s="85">
        <f t="shared" si="26"/>
        <v>8</v>
      </c>
      <c r="E377" s="85">
        <f t="shared" si="27"/>
        <v>18</v>
      </c>
      <c r="F377" s="85" t="str">
        <f t="shared" si="28"/>
        <v>pm</v>
      </c>
      <c r="G377" s="85" t="s">
        <v>1008</v>
      </c>
      <c r="H377" s="85" t="s">
        <v>497</v>
      </c>
      <c r="I377" s="85" t="s">
        <v>1009</v>
      </c>
      <c r="K377" s="86">
        <f t="shared" si="29"/>
        <v>3158.3181890651545</v>
      </c>
      <c r="M377" s="86">
        <v>3000</v>
      </c>
      <c r="P377" s="85">
        <v>3115.0197027601071</v>
      </c>
      <c r="Q377" s="85">
        <v>3158.3181890651545</v>
      </c>
    </row>
    <row r="378" spans="1:18" x14ac:dyDescent="0.3">
      <c r="A378" s="85">
        <v>2</v>
      </c>
      <c r="C378" s="85">
        <f t="shared" si="25"/>
        <v>9</v>
      </c>
      <c r="D378" s="85">
        <f t="shared" si="26"/>
        <v>9</v>
      </c>
      <c r="E378" s="85">
        <f t="shared" si="27"/>
        <v>18</v>
      </c>
      <c r="F378" s="85" t="str">
        <f t="shared" si="28"/>
        <v>pm</v>
      </c>
      <c r="G378" s="85" t="s">
        <v>1010</v>
      </c>
      <c r="H378" s="85" t="s">
        <v>497</v>
      </c>
      <c r="I378" s="85" t="s">
        <v>1011</v>
      </c>
      <c r="K378" s="86">
        <f t="shared" si="29"/>
        <v>2897.844275669926</v>
      </c>
      <c r="M378" s="86">
        <v>3000</v>
      </c>
      <c r="P378" s="85">
        <v>2895.3037348332809</v>
      </c>
      <c r="Q378" s="85">
        <v>2897.844275669926</v>
      </c>
    </row>
    <row r="379" spans="1:18" x14ac:dyDescent="0.3">
      <c r="A379" s="85">
        <v>3</v>
      </c>
      <c r="C379" s="85">
        <f t="shared" si="25"/>
        <v>10</v>
      </c>
      <c r="D379" s="85">
        <f t="shared" si="26"/>
        <v>10</v>
      </c>
      <c r="E379" s="85">
        <f t="shared" si="27"/>
        <v>18</v>
      </c>
      <c r="F379" s="85" t="str">
        <f t="shared" si="28"/>
        <v>pm</v>
      </c>
      <c r="G379" s="85" t="s">
        <v>1012</v>
      </c>
      <c r="H379" s="85" t="s">
        <v>534</v>
      </c>
      <c r="I379" s="85" t="s">
        <v>1013</v>
      </c>
      <c r="K379" s="86">
        <f t="shared" si="29"/>
        <v>3040.8270732538958</v>
      </c>
      <c r="M379" s="86">
        <v>3000</v>
      </c>
      <c r="O379" s="85">
        <v>3053.6663858700913</v>
      </c>
      <c r="Q379" s="85">
        <v>3040.8270732538958</v>
      </c>
    </row>
    <row r="380" spans="1:18" x14ac:dyDescent="0.3">
      <c r="A380" s="85">
        <v>2</v>
      </c>
      <c r="C380" s="85">
        <f t="shared" si="25"/>
        <v>11</v>
      </c>
      <c r="D380" s="85">
        <f t="shared" si="26"/>
        <v>11</v>
      </c>
      <c r="E380" s="85">
        <f t="shared" si="27"/>
        <v>18</v>
      </c>
      <c r="F380" s="85" t="str">
        <f t="shared" si="28"/>
        <v>pm</v>
      </c>
      <c r="G380" s="85" t="s">
        <v>422</v>
      </c>
      <c r="H380" s="85" t="s">
        <v>167</v>
      </c>
      <c r="I380" s="85" t="s">
        <v>1014</v>
      </c>
      <c r="K380" s="86">
        <f t="shared" si="29"/>
        <v>3098.6221168851657</v>
      </c>
      <c r="M380" s="86">
        <v>3000</v>
      </c>
      <c r="Q380" s="85">
        <v>3098.6221168851657</v>
      </c>
    </row>
    <row r="381" spans="1:18" x14ac:dyDescent="0.3">
      <c r="A381" s="85">
        <v>5</v>
      </c>
      <c r="C381" s="85">
        <f t="shared" si="25"/>
        <v>12</v>
      </c>
      <c r="D381" s="85">
        <f t="shared" si="26"/>
        <v>12</v>
      </c>
      <c r="E381" s="85">
        <f t="shared" si="27"/>
        <v>18</v>
      </c>
      <c r="F381" s="85" t="str">
        <f t="shared" si="28"/>
        <v>pm</v>
      </c>
      <c r="G381" s="85" t="s">
        <v>426</v>
      </c>
      <c r="H381" s="85" t="s">
        <v>242</v>
      </c>
      <c r="I381" s="85" t="s">
        <v>1015</v>
      </c>
      <c r="K381" s="86">
        <f t="shared" si="29"/>
        <v>3012.2022182610085</v>
      </c>
      <c r="M381" s="86">
        <v>3000</v>
      </c>
      <c r="P381" s="85">
        <v>3012.2022182610085</v>
      </c>
    </row>
    <row r="382" spans="1:18" x14ac:dyDescent="0.3">
      <c r="A382" s="85">
        <v>2</v>
      </c>
      <c r="C382" s="85">
        <f t="shared" si="25"/>
        <v>13</v>
      </c>
      <c r="D382" s="85">
        <f t="shared" si="26"/>
        <v>13</v>
      </c>
      <c r="E382" s="85">
        <f t="shared" si="27"/>
        <v>18</v>
      </c>
      <c r="F382" s="85" t="str">
        <f t="shared" si="28"/>
        <v>pm</v>
      </c>
      <c r="G382" s="85" t="s">
        <v>421</v>
      </c>
      <c r="H382" s="85" t="s">
        <v>331</v>
      </c>
      <c r="I382" s="85" t="s">
        <v>1016</v>
      </c>
      <c r="K382" s="86">
        <f t="shared" si="29"/>
        <v>3049.1452363505205</v>
      </c>
      <c r="M382" s="86">
        <v>3000</v>
      </c>
      <c r="P382" s="85">
        <v>3049.1452363505205</v>
      </c>
    </row>
    <row r="383" spans="1:18" x14ac:dyDescent="0.3">
      <c r="A383" s="85">
        <v>1</v>
      </c>
      <c r="C383" s="85">
        <f t="shared" si="25"/>
        <v>14</v>
      </c>
      <c r="D383" s="85">
        <f t="shared" si="26"/>
        <v>14</v>
      </c>
      <c r="E383" s="85">
        <f t="shared" si="27"/>
        <v>18</v>
      </c>
      <c r="F383" s="85" t="str">
        <f t="shared" si="28"/>
        <v>pmx</v>
      </c>
      <c r="G383" s="85" t="s">
        <v>1017</v>
      </c>
      <c r="H383" s="85" t="s">
        <v>159</v>
      </c>
      <c r="I383" s="85" t="s">
        <v>1018</v>
      </c>
      <c r="K383" s="86">
        <f t="shared" si="29"/>
        <v>2878.9821586338307</v>
      </c>
      <c r="M383" s="86">
        <v>3000</v>
      </c>
      <c r="Q383" s="85">
        <v>2878.9821586338307</v>
      </c>
    </row>
    <row r="384" spans="1:18" x14ac:dyDescent="0.3">
      <c r="A384" s="85">
        <v>1</v>
      </c>
      <c r="C384" s="85">
        <f t="shared" si="25"/>
        <v>15</v>
      </c>
      <c r="D384" s="85">
        <f t="shared" si="26"/>
        <v>15</v>
      </c>
      <c r="E384" s="85">
        <f t="shared" si="27"/>
        <v>18</v>
      </c>
      <c r="F384" s="85" t="str">
        <f t="shared" si="28"/>
        <v>crx</v>
      </c>
      <c r="G384" s="85" t="s">
        <v>414</v>
      </c>
      <c r="H384" s="85" t="s">
        <v>869</v>
      </c>
      <c r="I384" s="85" t="s">
        <v>1019</v>
      </c>
      <c r="K384" s="86">
        <f t="shared" si="29"/>
        <v>2993.1280277422129</v>
      </c>
      <c r="M384" s="86">
        <v>3000</v>
      </c>
      <c r="P384" s="85">
        <v>2993.1280277422129</v>
      </c>
    </row>
    <row r="385" spans="1:18" x14ac:dyDescent="0.3">
      <c r="A385" s="85">
        <v>1</v>
      </c>
      <c r="C385" s="85">
        <f t="shared" si="25"/>
        <v>16</v>
      </c>
      <c r="D385" s="85">
        <f t="shared" si="26"/>
        <v>16</v>
      </c>
      <c r="E385" s="85">
        <f t="shared" si="27"/>
        <v>18</v>
      </c>
      <c r="F385" s="85" t="str">
        <f t="shared" si="28"/>
        <v>crx</v>
      </c>
      <c r="G385" s="85" t="s">
        <v>1020</v>
      </c>
      <c r="H385" s="85" t="s">
        <v>869</v>
      </c>
      <c r="I385" s="85" t="s">
        <v>1021</v>
      </c>
      <c r="K385" s="86">
        <f t="shared" si="29"/>
        <v>2895.2803258200752</v>
      </c>
      <c r="M385" s="86">
        <v>3000</v>
      </c>
      <c r="P385" s="85">
        <v>2895.2803258200752</v>
      </c>
    </row>
    <row r="386" spans="1:18" x14ac:dyDescent="0.3">
      <c r="A386" s="85">
        <v>1</v>
      </c>
      <c r="C386" s="85">
        <f t="shared" ref="C386:C401" si="30">IF(E386=E385,C385+1,1)</f>
        <v>17</v>
      </c>
      <c r="D386" s="85">
        <f t="shared" ref="D386:D401" si="31">IF(K386=K385,D385,C386)</f>
        <v>17</v>
      </c>
      <c r="E386" s="85">
        <f t="shared" ref="E386:E401" si="32">10+VALUE(RIGHT(LEFT(G386,3),1))</f>
        <v>18</v>
      </c>
      <c r="F386" s="85" t="str">
        <f t="shared" ref="F386:F401" si="33">RIGHT(G386,2) &amp; IF(A386&lt;2,"x","")</f>
        <v>crx</v>
      </c>
      <c r="G386" s="85" t="s">
        <v>1022</v>
      </c>
      <c r="H386" s="85" t="s">
        <v>1023</v>
      </c>
      <c r="I386" s="85" t="s">
        <v>1024</v>
      </c>
      <c r="K386" s="86">
        <f t="shared" ref="K386:K401" si="34">LOOKUP(1E+100,M386:AB386)</f>
        <v>3020.7208746056385</v>
      </c>
      <c r="M386" s="86">
        <v>3000</v>
      </c>
      <c r="O386" s="85">
        <v>3020.7208746056385</v>
      </c>
    </row>
    <row r="387" spans="1:18" x14ac:dyDescent="0.3">
      <c r="A387" s="85">
        <v>1</v>
      </c>
      <c r="C387" s="85">
        <f t="shared" si="30"/>
        <v>18</v>
      </c>
      <c r="D387" s="85">
        <f t="shared" si="31"/>
        <v>18</v>
      </c>
      <c r="E387" s="85">
        <f t="shared" si="32"/>
        <v>18</v>
      </c>
      <c r="F387" s="85" t="str">
        <f t="shared" si="33"/>
        <v>crx</v>
      </c>
      <c r="G387" s="85" t="s">
        <v>441</v>
      </c>
      <c r="H387" s="85" t="s">
        <v>1023</v>
      </c>
      <c r="I387" s="85" t="s">
        <v>1025</v>
      </c>
      <c r="K387" s="86">
        <f t="shared" si="34"/>
        <v>3030.7048604400079</v>
      </c>
      <c r="M387" s="86">
        <v>3000</v>
      </c>
      <c r="O387" s="85">
        <v>3030.7048604400079</v>
      </c>
    </row>
    <row r="388" spans="1:18" x14ac:dyDescent="0.3">
      <c r="A388" s="85">
        <v>1</v>
      </c>
      <c r="C388" s="85">
        <f t="shared" si="30"/>
        <v>19</v>
      </c>
      <c r="D388" s="85">
        <f t="shared" si="31"/>
        <v>19</v>
      </c>
      <c r="E388" s="85">
        <f t="shared" si="32"/>
        <v>18</v>
      </c>
      <c r="F388" s="85" t="str">
        <f t="shared" si="33"/>
        <v>crx</v>
      </c>
      <c r="G388" s="85" t="s">
        <v>1026</v>
      </c>
      <c r="H388" s="85" t="s">
        <v>576</v>
      </c>
      <c r="I388" s="85" t="s">
        <v>1027</v>
      </c>
      <c r="K388" s="86">
        <f t="shared" si="34"/>
        <v>3000</v>
      </c>
      <c r="M388" s="86">
        <v>3000</v>
      </c>
    </row>
    <row r="389" spans="1:18" x14ac:dyDescent="0.3">
      <c r="A389" s="85">
        <v>1</v>
      </c>
      <c r="C389" s="85">
        <f t="shared" si="30"/>
        <v>20</v>
      </c>
      <c r="D389" s="85">
        <f t="shared" si="31"/>
        <v>19</v>
      </c>
      <c r="E389" s="85">
        <f t="shared" si="32"/>
        <v>18</v>
      </c>
      <c r="F389" s="85" t="str">
        <f t="shared" si="33"/>
        <v>crx</v>
      </c>
      <c r="G389" s="85" t="s">
        <v>1028</v>
      </c>
      <c r="H389" s="85" t="s">
        <v>722</v>
      </c>
      <c r="I389" s="85" t="s">
        <v>1029</v>
      </c>
      <c r="K389" s="86">
        <f t="shared" si="34"/>
        <v>3000</v>
      </c>
      <c r="M389" s="86">
        <v>3000</v>
      </c>
    </row>
    <row r="390" spans="1:18" x14ac:dyDescent="0.3">
      <c r="A390" s="85">
        <v>1</v>
      </c>
      <c r="C390" s="85">
        <f t="shared" si="30"/>
        <v>21</v>
      </c>
      <c r="D390" s="85">
        <f t="shared" si="31"/>
        <v>21</v>
      </c>
      <c r="E390" s="85">
        <f t="shared" si="32"/>
        <v>18</v>
      </c>
      <c r="F390" s="85" t="str">
        <f t="shared" si="33"/>
        <v>crx</v>
      </c>
      <c r="G390" s="85" t="s">
        <v>1030</v>
      </c>
      <c r="H390" s="85" t="s">
        <v>442</v>
      </c>
      <c r="I390" s="85" t="s">
        <v>1031</v>
      </c>
      <c r="K390" s="86">
        <f t="shared" si="34"/>
        <v>2984.49504329918</v>
      </c>
      <c r="M390" s="86">
        <v>3000</v>
      </c>
      <c r="O390" s="85">
        <v>2984.49504329918</v>
      </c>
    </row>
    <row r="391" spans="1:18" x14ac:dyDescent="0.3">
      <c r="A391" s="85">
        <v>1</v>
      </c>
      <c r="C391" s="85">
        <f t="shared" si="30"/>
        <v>22</v>
      </c>
      <c r="D391" s="85">
        <f t="shared" si="31"/>
        <v>22</v>
      </c>
      <c r="E391" s="85">
        <f t="shared" si="32"/>
        <v>18</v>
      </c>
      <c r="F391" s="85" t="str">
        <f t="shared" si="33"/>
        <v>sox</v>
      </c>
      <c r="G391" s="85" t="s">
        <v>1032</v>
      </c>
      <c r="H391" s="85" t="s">
        <v>785</v>
      </c>
      <c r="I391" s="85" t="s">
        <v>1033</v>
      </c>
      <c r="K391" s="86">
        <f t="shared" si="34"/>
        <v>3000</v>
      </c>
      <c r="M391" s="86">
        <v>3000</v>
      </c>
    </row>
    <row r="392" spans="1:18" x14ac:dyDescent="0.3">
      <c r="A392" s="85">
        <v>2</v>
      </c>
      <c r="C392" s="85">
        <f t="shared" si="30"/>
        <v>23</v>
      </c>
      <c r="D392" s="85">
        <f t="shared" si="31"/>
        <v>23</v>
      </c>
      <c r="E392" s="85">
        <f t="shared" si="32"/>
        <v>18</v>
      </c>
      <c r="F392" s="85" t="str">
        <f t="shared" si="33"/>
        <v>pm</v>
      </c>
      <c r="G392" s="85" t="s">
        <v>1034</v>
      </c>
      <c r="H392" s="85" t="s">
        <v>277</v>
      </c>
      <c r="I392" s="85" t="s">
        <v>1035</v>
      </c>
      <c r="K392" s="86">
        <f t="shared" si="34"/>
        <v>2784.3704638645931</v>
      </c>
      <c r="M392" s="86">
        <v>2800</v>
      </c>
      <c r="N392" s="85">
        <v>2784.3704638645931</v>
      </c>
    </row>
    <row r="393" spans="1:18" x14ac:dyDescent="0.3">
      <c r="A393" s="85">
        <v>6</v>
      </c>
      <c r="C393" s="85">
        <f t="shared" si="30"/>
        <v>24</v>
      </c>
      <c r="D393" s="85">
        <f t="shared" si="31"/>
        <v>24</v>
      </c>
      <c r="E393" s="85">
        <f t="shared" si="32"/>
        <v>18</v>
      </c>
      <c r="F393" s="85" t="str">
        <f t="shared" si="33"/>
        <v>pm</v>
      </c>
      <c r="G393" s="85" t="s">
        <v>423</v>
      </c>
      <c r="H393" s="85" t="s">
        <v>392</v>
      </c>
      <c r="I393" s="85" t="s">
        <v>1036</v>
      </c>
      <c r="K393" s="86">
        <f t="shared" si="34"/>
        <v>2565.3417525513787</v>
      </c>
      <c r="M393" s="86">
        <v>2600</v>
      </c>
      <c r="N393" s="85">
        <v>2598.4897616641106</v>
      </c>
      <c r="P393" s="85">
        <v>2560.6143683105338</v>
      </c>
      <c r="R393" s="85">
        <v>2565.3417525513787</v>
      </c>
    </row>
    <row r="394" spans="1:18" x14ac:dyDescent="0.3">
      <c r="A394" s="85">
        <v>6</v>
      </c>
      <c r="C394" s="85">
        <f>IF(E394=E358,C358+1,1)</f>
        <v>1</v>
      </c>
      <c r="D394" s="85">
        <f>IF(K394=K358,D358,C394)</f>
        <v>1</v>
      </c>
      <c r="E394" s="85">
        <f>10+VALUE(RIGHT(LEFT(G394,3),1))</f>
        <v>18</v>
      </c>
      <c r="F394" s="85" t="str">
        <f>RIGHT(G394,2) &amp; IF(A394&lt;2,"x","")</f>
        <v>pm</v>
      </c>
      <c r="G394" s="299" t="s">
        <v>1037</v>
      </c>
      <c r="H394" s="85" t="s">
        <v>392</v>
      </c>
      <c r="I394" s="85" t="s">
        <v>1038</v>
      </c>
      <c r="K394" s="86">
        <f>LOOKUP(1E+100,M394:AB394)</f>
        <v>2475.8287326488262</v>
      </c>
      <c r="M394" s="86">
        <v>2600</v>
      </c>
      <c r="N394" s="85">
        <v>2513.8626072183683</v>
      </c>
      <c r="P394" s="85">
        <v>2514.0032889712584</v>
      </c>
      <c r="R394" s="85">
        <v>2475.8287326488262</v>
      </c>
    </row>
    <row r="395" spans="1:18" x14ac:dyDescent="0.3">
      <c r="A395" s="85">
        <v>2</v>
      </c>
      <c r="C395" s="85">
        <f>IF(E395=E393,C393+1,1)</f>
        <v>25</v>
      </c>
      <c r="D395" s="85">
        <f>IF(K395=K393,D393,C395)</f>
        <v>25</v>
      </c>
      <c r="E395" s="85">
        <f t="shared" si="32"/>
        <v>18</v>
      </c>
      <c r="F395" s="85" t="str">
        <f t="shared" si="33"/>
        <v>pm</v>
      </c>
      <c r="G395" s="85" t="s">
        <v>1039</v>
      </c>
      <c r="H395" s="85" t="s">
        <v>831</v>
      </c>
      <c r="I395" s="85" t="s">
        <v>1040</v>
      </c>
      <c r="K395" s="86">
        <f t="shared" si="34"/>
        <v>2532.7151788299739</v>
      </c>
      <c r="M395" s="86">
        <v>2600</v>
      </c>
      <c r="R395" s="85">
        <v>2532.7151788299739</v>
      </c>
    </row>
    <row r="396" spans="1:18" x14ac:dyDescent="0.3">
      <c r="A396" s="85">
        <v>7</v>
      </c>
      <c r="C396" s="85">
        <f t="shared" si="30"/>
        <v>26</v>
      </c>
      <c r="D396" s="85">
        <f t="shared" si="31"/>
        <v>26</v>
      </c>
      <c r="E396" s="85">
        <f t="shared" si="32"/>
        <v>18</v>
      </c>
      <c r="F396" s="85" t="str">
        <f t="shared" si="33"/>
        <v>pm</v>
      </c>
      <c r="G396" s="85" t="s">
        <v>424</v>
      </c>
      <c r="H396" s="85" t="s">
        <v>345</v>
      </c>
      <c r="I396" s="85" t="s">
        <v>425</v>
      </c>
      <c r="K396" s="86">
        <f t="shared" si="34"/>
        <v>2512.2703904137693</v>
      </c>
      <c r="M396" s="86">
        <v>2600</v>
      </c>
      <c r="N396" s="85">
        <v>2509.9742813075081</v>
      </c>
      <c r="P396" s="85">
        <v>2503.6831965637493</v>
      </c>
      <c r="R396" s="85">
        <v>2512.2703904137693</v>
      </c>
    </row>
    <row r="397" spans="1:18" x14ac:dyDescent="0.3">
      <c r="A397" s="85">
        <v>2</v>
      </c>
      <c r="C397" s="85">
        <f t="shared" si="30"/>
        <v>27</v>
      </c>
      <c r="D397" s="85">
        <f t="shared" si="31"/>
        <v>27</v>
      </c>
      <c r="E397" s="85">
        <f t="shared" si="32"/>
        <v>18</v>
      </c>
      <c r="F397" s="85" t="str">
        <f t="shared" si="33"/>
        <v>pm</v>
      </c>
      <c r="G397" s="85" t="s">
        <v>1041</v>
      </c>
      <c r="H397" s="85" t="s">
        <v>242</v>
      </c>
      <c r="I397" s="85" t="s">
        <v>1042</v>
      </c>
      <c r="K397" s="86">
        <f t="shared" si="34"/>
        <v>2435.3480732002313</v>
      </c>
      <c r="M397" s="86">
        <v>2600</v>
      </c>
      <c r="P397" s="85">
        <v>2476.9796027233456</v>
      </c>
      <c r="R397" s="85">
        <v>2435.3480732002313</v>
      </c>
    </row>
    <row r="398" spans="1:18" x14ac:dyDescent="0.3">
      <c r="A398" s="85">
        <v>1</v>
      </c>
      <c r="C398" s="85">
        <f t="shared" si="30"/>
        <v>28</v>
      </c>
      <c r="D398" s="85">
        <f t="shared" si="31"/>
        <v>28</v>
      </c>
      <c r="E398" s="85">
        <f t="shared" si="32"/>
        <v>18</v>
      </c>
      <c r="F398" s="85" t="str">
        <f t="shared" si="33"/>
        <v>crx</v>
      </c>
      <c r="G398" s="85" t="s">
        <v>1043</v>
      </c>
      <c r="H398" s="85" t="s">
        <v>942</v>
      </c>
      <c r="I398" s="85" t="s">
        <v>1044</v>
      </c>
      <c r="K398" s="86">
        <f t="shared" si="34"/>
        <v>2600</v>
      </c>
      <c r="M398" s="86">
        <v>2600</v>
      </c>
    </row>
    <row r="399" spans="1:18" x14ac:dyDescent="0.3">
      <c r="A399" s="85">
        <v>3</v>
      </c>
      <c r="C399" s="85">
        <f t="shared" si="30"/>
        <v>29</v>
      </c>
      <c r="D399" s="85">
        <f t="shared" si="31"/>
        <v>29</v>
      </c>
      <c r="E399" s="85">
        <f t="shared" si="32"/>
        <v>18</v>
      </c>
      <c r="F399" s="85" t="str">
        <f t="shared" si="33"/>
        <v>cr</v>
      </c>
      <c r="G399" s="85" t="s">
        <v>419</v>
      </c>
      <c r="H399" s="85" t="s">
        <v>734</v>
      </c>
      <c r="I399" s="85" t="s">
        <v>420</v>
      </c>
      <c r="K399" s="86">
        <f t="shared" si="34"/>
        <v>2732.128963572633</v>
      </c>
      <c r="M399" s="86">
        <v>2600</v>
      </c>
      <c r="N399" s="85">
        <v>2662.393350504467</v>
      </c>
      <c r="R399" s="85">
        <v>2732.128963572633</v>
      </c>
    </row>
    <row r="400" spans="1:18" x14ac:dyDescent="0.3">
      <c r="A400" s="85">
        <v>2</v>
      </c>
      <c r="C400" s="85">
        <f t="shared" si="30"/>
        <v>30</v>
      </c>
      <c r="D400" s="85">
        <f t="shared" si="31"/>
        <v>30</v>
      </c>
      <c r="E400" s="85">
        <f t="shared" si="32"/>
        <v>18</v>
      </c>
      <c r="F400" s="85" t="str">
        <f t="shared" si="33"/>
        <v>so</v>
      </c>
      <c r="G400" s="85" t="s">
        <v>1045</v>
      </c>
      <c r="H400" s="85" t="s">
        <v>633</v>
      </c>
      <c r="I400" s="85" t="s">
        <v>1046</v>
      </c>
      <c r="K400" s="86">
        <f t="shared" si="34"/>
        <v>2600</v>
      </c>
      <c r="M400" s="86">
        <v>2600</v>
      </c>
    </row>
    <row r="401" spans="1:18" x14ac:dyDescent="0.3">
      <c r="A401" s="85">
        <v>1</v>
      </c>
      <c r="C401" s="85">
        <f t="shared" si="30"/>
        <v>31</v>
      </c>
      <c r="D401" s="85">
        <f t="shared" si="31"/>
        <v>30</v>
      </c>
      <c r="E401" s="85">
        <f t="shared" si="32"/>
        <v>18</v>
      </c>
      <c r="F401" s="85" t="str">
        <f t="shared" si="33"/>
        <v>sox</v>
      </c>
      <c r="G401" s="85" t="s">
        <v>1047</v>
      </c>
      <c r="H401" s="85" t="s">
        <v>1048</v>
      </c>
      <c r="I401" s="85" t="s">
        <v>1049</v>
      </c>
      <c r="K401" s="86">
        <f t="shared" si="34"/>
        <v>2600</v>
      </c>
      <c r="M401" s="86">
        <v>2600</v>
      </c>
    </row>
    <row r="404" spans="1:18" x14ac:dyDescent="0.3">
      <c r="A404" s="85">
        <v>2</v>
      </c>
      <c r="C404" s="85">
        <f t="shared" ref="C404:C408" si="35">IF(E404=E403,C403+1,1)</f>
        <v>1</v>
      </c>
      <c r="D404" s="85">
        <f t="shared" ref="D404:D408" si="36">IF(K404=K403,D403,C404)</f>
        <v>1</v>
      </c>
      <c r="E404" s="85">
        <f t="shared" ref="E404:E408" si="37">10+VALUE(RIGHT(LEFT(G404,3),1))</f>
        <v>13</v>
      </c>
      <c r="F404" s="85" t="str">
        <f t="shared" ref="F404:F408" si="38">RIGHT(G404,2) &amp; IF(A404&lt;2,"x","")</f>
        <v>pm</v>
      </c>
      <c r="G404" s="299" t="s">
        <v>1050</v>
      </c>
      <c r="H404" s="85" t="s">
        <v>497</v>
      </c>
      <c r="I404" s="299" t="s">
        <v>1051</v>
      </c>
      <c r="K404" s="86">
        <f t="shared" ref="K404:K408" si="39">LOOKUP(1E+100,M404:AB404)</f>
        <v>1910.2697823414592</v>
      </c>
      <c r="M404" s="86">
        <v>2000</v>
      </c>
      <c r="P404" s="85">
        <v>1910.2697823414592</v>
      </c>
    </row>
    <row r="405" spans="1:18" x14ac:dyDescent="0.3">
      <c r="A405" s="85">
        <v>1</v>
      </c>
      <c r="C405" s="85">
        <f t="shared" si="35"/>
        <v>2</v>
      </c>
      <c r="D405" s="85">
        <f t="shared" si="36"/>
        <v>2</v>
      </c>
      <c r="E405" s="85">
        <f t="shared" si="37"/>
        <v>13</v>
      </c>
      <c r="F405" s="85" t="str">
        <f t="shared" si="38"/>
        <v>crx</v>
      </c>
      <c r="G405" s="299" t="s">
        <v>1052</v>
      </c>
      <c r="H405" s="299" t="s">
        <v>1053</v>
      </c>
      <c r="I405" s="85" t="s">
        <v>1054</v>
      </c>
      <c r="K405" s="86">
        <f t="shared" si="39"/>
        <v>1642.4175455670834</v>
      </c>
      <c r="M405" s="86">
        <v>1600</v>
      </c>
      <c r="P405" s="85">
        <v>1642.4175455670834</v>
      </c>
    </row>
    <row r="406" spans="1:18" x14ac:dyDescent="0.3">
      <c r="A406" s="85">
        <v>2</v>
      </c>
      <c r="C406" s="85">
        <f t="shared" si="35"/>
        <v>1</v>
      </c>
      <c r="D406" s="85">
        <f t="shared" si="36"/>
        <v>1</v>
      </c>
      <c r="E406" s="85">
        <f t="shared" si="37"/>
        <v>15</v>
      </c>
      <c r="F406" s="85" t="str">
        <f t="shared" si="38"/>
        <v>pm</v>
      </c>
      <c r="G406" s="301" t="s">
        <v>1055</v>
      </c>
      <c r="H406" s="301" t="s">
        <v>1056</v>
      </c>
      <c r="I406" s="301" t="s">
        <v>1057</v>
      </c>
      <c r="K406" s="86">
        <f t="shared" si="39"/>
        <v>2022.9770397763709</v>
      </c>
      <c r="M406" s="86">
        <v>2000</v>
      </c>
      <c r="P406" s="85">
        <v>2022.9770397763709</v>
      </c>
    </row>
    <row r="407" spans="1:18" x14ac:dyDescent="0.3">
      <c r="A407" s="85">
        <v>1</v>
      </c>
      <c r="C407" s="85">
        <f t="shared" si="35"/>
        <v>1</v>
      </c>
      <c r="D407" s="85">
        <f t="shared" si="36"/>
        <v>1</v>
      </c>
      <c r="E407" s="85">
        <f t="shared" si="37"/>
        <v>18</v>
      </c>
      <c r="F407" s="85" t="str">
        <f t="shared" si="38"/>
        <v>sox</v>
      </c>
      <c r="G407" s="301" t="s">
        <v>1058</v>
      </c>
      <c r="H407" s="299" t="s">
        <v>1059</v>
      </c>
      <c r="I407" s="301" t="s">
        <v>1060</v>
      </c>
      <c r="K407" s="86">
        <f t="shared" si="39"/>
        <v>2664.0407158565417</v>
      </c>
      <c r="M407" s="86">
        <v>2600</v>
      </c>
      <c r="R407" s="85">
        <v>2664.0407158565417</v>
      </c>
    </row>
    <row r="408" spans="1:18" x14ac:dyDescent="0.3">
      <c r="A408" s="85">
        <v>1</v>
      </c>
      <c r="C408" s="85">
        <f t="shared" si="35"/>
        <v>2</v>
      </c>
      <c r="D408" s="85">
        <f t="shared" si="36"/>
        <v>2</v>
      </c>
      <c r="E408" s="85">
        <f t="shared" si="37"/>
        <v>18</v>
      </c>
      <c r="F408" s="85" t="str">
        <f t="shared" si="38"/>
        <v>crx</v>
      </c>
      <c r="G408" s="301" t="s">
        <v>419</v>
      </c>
      <c r="H408" s="301" t="s">
        <v>1061</v>
      </c>
      <c r="I408" s="301" t="s">
        <v>420</v>
      </c>
      <c r="K408" s="86">
        <f t="shared" si="39"/>
        <v>2600</v>
      </c>
      <c r="M408" s="86">
        <v>2600</v>
      </c>
    </row>
    <row r="411" spans="1:18" x14ac:dyDescent="0.3">
      <c r="A411" s="85">
        <v>2</v>
      </c>
      <c r="C411" s="85">
        <f t="shared" ref="C411:C415" si="40">IF(E411=E410,C410+1,1)</f>
        <v>1</v>
      </c>
      <c r="D411" s="85">
        <f t="shared" ref="D411:D415" si="41">IF(K411=K410,D410,C411)</f>
        <v>1</v>
      </c>
      <c r="E411" s="85">
        <f t="shared" ref="E411:E415" si="42">10+VALUE(RIGHT(LEFT(G411,3),1))</f>
        <v>11</v>
      </c>
      <c r="F411" s="85" t="str">
        <f t="shared" ref="F411:F415" si="43">RIGHT(G411,2) &amp; IF(A411&lt;2,"x","")</f>
        <v>pm</v>
      </c>
      <c r="G411" s="301" t="s">
        <v>1062</v>
      </c>
      <c r="H411" s="301" t="s">
        <v>1063</v>
      </c>
      <c r="I411" s="301" t="s">
        <v>40</v>
      </c>
      <c r="K411" s="86">
        <f t="shared" ref="K411:K415" si="44">LOOKUP(1E+100,M411:AB411)</f>
        <v>1225.0627938110126</v>
      </c>
      <c r="M411" s="86">
        <v>1200</v>
      </c>
      <c r="P411" s="85">
        <v>1225.0627938110126</v>
      </c>
    </row>
    <row r="412" spans="1:18" x14ac:dyDescent="0.3">
      <c r="A412" s="85">
        <v>2</v>
      </c>
      <c r="C412" s="85">
        <f t="shared" si="40"/>
        <v>2</v>
      </c>
      <c r="D412" s="85">
        <f t="shared" si="41"/>
        <v>2</v>
      </c>
      <c r="E412" s="85">
        <f t="shared" si="42"/>
        <v>11</v>
      </c>
      <c r="F412" s="85" t="str">
        <f t="shared" si="43"/>
        <v>pm</v>
      </c>
      <c r="G412" s="301" t="s">
        <v>1064</v>
      </c>
      <c r="H412" s="301" t="s">
        <v>1063</v>
      </c>
      <c r="I412" s="301" t="s">
        <v>207</v>
      </c>
      <c r="K412" s="86">
        <f t="shared" si="44"/>
        <v>1264.7519205331801</v>
      </c>
      <c r="M412" s="86">
        <v>1200</v>
      </c>
      <c r="P412" s="85">
        <v>1264.7519205331801</v>
      </c>
    </row>
    <row r="413" spans="1:18" x14ac:dyDescent="0.3">
      <c r="A413" s="85">
        <v>2</v>
      </c>
      <c r="C413" s="85">
        <f t="shared" si="40"/>
        <v>3</v>
      </c>
      <c r="D413" s="85">
        <f t="shared" si="41"/>
        <v>3</v>
      </c>
      <c r="E413" s="85">
        <f t="shared" si="42"/>
        <v>11</v>
      </c>
      <c r="F413" s="85" t="str">
        <f t="shared" si="43"/>
        <v>pm</v>
      </c>
      <c r="G413" s="301" t="s">
        <v>1065</v>
      </c>
      <c r="H413" s="301" t="s">
        <v>1063</v>
      </c>
      <c r="I413" s="301" t="s">
        <v>1066</v>
      </c>
      <c r="K413" s="86">
        <f t="shared" si="44"/>
        <v>1237.1306917502143</v>
      </c>
      <c r="M413" s="86">
        <v>1200</v>
      </c>
      <c r="P413" s="85">
        <v>1237.1306917502143</v>
      </c>
    </row>
    <row r="414" spans="1:18" x14ac:dyDescent="0.3">
      <c r="A414" s="85">
        <v>2</v>
      </c>
      <c r="C414" s="85">
        <f t="shared" si="40"/>
        <v>1</v>
      </c>
      <c r="D414" s="85">
        <f t="shared" si="41"/>
        <v>1</v>
      </c>
      <c r="E414" s="85">
        <f t="shared" si="42"/>
        <v>12</v>
      </c>
      <c r="F414" s="85" t="str">
        <f t="shared" si="43"/>
        <v>pm</v>
      </c>
      <c r="G414" s="301" t="s">
        <v>1067</v>
      </c>
      <c r="H414" s="301" t="s">
        <v>1068</v>
      </c>
      <c r="I414" s="301" t="s">
        <v>1069</v>
      </c>
      <c r="K414" s="86">
        <f t="shared" si="44"/>
        <v>1096.3127655480869</v>
      </c>
      <c r="M414" s="86">
        <v>1200</v>
      </c>
      <c r="P414" s="85">
        <v>1096.3127655480869</v>
      </c>
    </row>
    <row r="415" spans="1:18" x14ac:dyDescent="0.3">
      <c r="A415" s="85">
        <v>2</v>
      </c>
      <c r="C415" s="85">
        <f t="shared" si="40"/>
        <v>2</v>
      </c>
      <c r="D415" s="85">
        <f t="shared" si="41"/>
        <v>2</v>
      </c>
      <c r="E415" s="85">
        <f t="shared" si="42"/>
        <v>12</v>
      </c>
      <c r="F415" s="85" t="str">
        <f t="shared" si="43"/>
        <v>pm</v>
      </c>
      <c r="G415" s="301" t="s">
        <v>197</v>
      </c>
      <c r="H415" s="301" t="s">
        <v>1070</v>
      </c>
      <c r="I415" s="301" t="s">
        <v>1071</v>
      </c>
      <c r="K415" s="86">
        <f t="shared" si="44"/>
        <v>1157.2304177245248</v>
      </c>
      <c r="M415" s="86">
        <v>1200</v>
      </c>
      <c r="P415" s="85">
        <v>1157.2304177245248</v>
      </c>
    </row>
    <row r="416" spans="1:18" x14ac:dyDescent="0.3">
      <c r="G416" s="301"/>
      <c r="H416" s="301"/>
      <c r="I416" s="301"/>
    </row>
    <row r="417" spans="1:16" x14ac:dyDescent="0.3">
      <c r="A417" s="85">
        <v>2</v>
      </c>
      <c r="C417" s="85">
        <f t="shared" ref="C417:C421" si="45">IF(E417=E416,C416+1,1)</f>
        <v>1</v>
      </c>
      <c r="D417" s="85">
        <f t="shared" ref="D417:D421" si="46">IF(K417=K416,D416,C417)</f>
        <v>1</v>
      </c>
      <c r="E417" s="85">
        <f t="shared" ref="E417:E421" si="47">10+VALUE(RIGHT(LEFT(G417,3),1))</f>
        <v>12</v>
      </c>
      <c r="F417" s="85" t="str">
        <f t="shared" ref="F417:F421" si="48">RIGHT(G417,2) &amp; IF(A417&lt;2,"x","")</f>
        <v>pm</v>
      </c>
      <c r="G417" s="301" t="s">
        <v>193</v>
      </c>
      <c r="H417" s="301" t="s">
        <v>1063</v>
      </c>
      <c r="I417" s="301" t="s">
        <v>194</v>
      </c>
      <c r="K417" s="86">
        <f t="shared" ref="K417:K421" si="49">LOOKUP(1E+100,M417:AB417)</f>
        <v>1298.5668972647138</v>
      </c>
      <c r="M417" s="86">
        <v>1200</v>
      </c>
      <c r="P417" s="85">
        <v>1298.5668972647138</v>
      </c>
    </row>
    <row r="418" spans="1:16" x14ac:dyDescent="0.3">
      <c r="A418" s="85">
        <v>2</v>
      </c>
      <c r="C418" s="85">
        <f t="shared" si="45"/>
        <v>1</v>
      </c>
      <c r="D418" s="85">
        <f t="shared" si="46"/>
        <v>1</v>
      </c>
      <c r="E418" s="85">
        <f t="shared" si="47"/>
        <v>11</v>
      </c>
      <c r="F418" s="85" t="str">
        <f t="shared" si="48"/>
        <v>pm</v>
      </c>
      <c r="G418" s="301" t="s">
        <v>1072</v>
      </c>
      <c r="H418" s="301" t="s">
        <v>162</v>
      </c>
      <c r="I418" s="301" t="s">
        <v>1073</v>
      </c>
      <c r="K418" s="86">
        <f t="shared" si="49"/>
        <v>1213.4507817912975</v>
      </c>
      <c r="M418" s="86">
        <v>1200</v>
      </c>
      <c r="P418" s="85">
        <v>1213.4507817912975</v>
      </c>
    </row>
    <row r="419" spans="1:16" x14ac:dyDescent="0.3">
      <c r="A419" s="85">
        <v>2</v>
      </c>
      <c r="C419" s="85">
        <f t="shared" si="45"/>
        <v>1</v>
      </c>
      <c r="D419" s="85">
        <f t="shared" si="46"/>
        <v>1</v>
      </c>
      <c r="E419" s="85">
        <f t="shared" si="47"/>
        <v>12</v>
      </c>
      <c r="F419" s="85" t="str">
        <f t="shared" si="48"/>
        <v>pm</v>
      </c>
      <c r="G419" s="301" t="s">
        <v>1074</v>
      </c>
      <c r="H419" s="301" t="s">
        <v>1075</v>
      </c>
      <c r="I419" s="301" t="s">
        <v>22</v>
      </c>
      <c r="K419" s="86">
        <f t="shared" si="49"/>
        <v>1198.5075103942904</v>
      </c>
      <c r="M419" s="86">
        <v>1200</v>
      </c>
      <c r="P419" s="85">
        <v>1198.5075103942904</v>
      </c>
    </row>
    <row r="420" spans="1:16" x14ac:dyDescent="0.3">
      <c r="A420" s="85">
        <v>2</v>
      </c>
      <c r="C420" s="85">
        <f t="shared" si="45"/>
        <v>2</v>
      </c>
      <c r="D420" s="85">
        <f t="shared" si="46"/>
        <v>2</v>
      </c>
      <c r="E420" s="85">
        <f t="shared" si="47"/>
        <v>12</v>
      </c>
      <c r="F420" s="85" t="str">
        <f t="shared" si="48"/>
        <v>pm</v>
      </c>
      <c r="G420" s="301" t="s">
        <v>1076</v>
      </c>
      <c r="H420" s="301" t="s">
        <v>1075</v>
      </c>
      <c r="I420" s="301" t="s">
        <v>1077</v>
      </c>
      <c r="K420" s="86">
        <f t="shared" si="49"/>
        <v>1115.6045285651435</v>
      </c>
      <c r="M420" s="86">
        <v>1200</v>
      </c>
      <c r="P420" s="85">
        <v>1115.6045285651435</v>
      </c>
    </row>
    <row r="421" spans="1:16" x14ac:dyDescent="0.3">
      <c r="A421" s="85">
        <v>2</v>
      </c>
      <c r="C421" s="85">
        <f t="shared" si="45"/>
        <v>3</v>
      </c>
      <c r="D421" s="85">
        <f t="shared" si="46"/>
        <v>3</v>
      </c>
      <c r="E421" s="85">
        <f t="shared" si="47"/>
        <v>12</v>
      </c>
      <c r="F421" s="85" t="str">
        <f t="shared" si="48"/>
        <v>pm</v>
      </c>
      <c r="G421" s="301" t="s">
        <v>196</v>
      </c>
      <c r="H421" s="301" t="s">
        <v>1078</v>
      </c>
      <c r="I421" s="301" t="s">
        <v>1079</v>
      </c>
      <c r="K421" s="86">
        <f t="shared" si="49"/>
        <v>1151.5489354378585</v>
      </c>
      <c r="M421" s="86">
        <v>1200</v>
      </c>
      <c r="P421" s="85">
        <v>1151.5489354378585</v>
      </c>
    </row>
    <row r="422" spans="1:16" x14ac:dyDescent="0.3">
      <c r="G422" s="301"/>
      <c r="H422" s="301"/>
      <c r="I422" s="301"/>
    </row>
    <row r="423" spans="1:16" x14ac:dyDescent="0.3">
      <c r="A423" s="85">
        <v>2</v>
      </c>
      <c r="C423" s="85">
        <f t="shared" ref="C423" si="50">IF(E423=E422,C422+1,1)</f>
        <v>1</v>
      </c>
      <c r="D423" s="85">
        <f t="shared" ref="D423" si="51">IF(K423=K422,D422,C423)</f>
        <v>1</v>
      </c>
      <c r="E423" s="85">
        <f t="shared" ref="E423" si="52">10+VALUE(RIGHT(LEFT(G423,3),1))</f>
        <v>12</v>
      </c>
      <c r="F423" s="85" t="str">
        <f t="shared" ref="F423" si="53">RIGHT(G423,2) &amp; IF(A423&lt;2,"x","")</f>
        <v>pm</v>
      </c>
      <c r="G423" s="301" t="s">
        <v>185</v>
      </c>
      <c r="H423" s="301" t="s">
        <v>1080</v>
      </c>
      <c r="I423" s="301" t="s">
        <v>1081</v>
      </c>
      <c r="K423" s="86">
        <f t="shared" ref="K423" si="54">LOOKUP(1E+100,M423:AB423)</f>
        <v>1233.2107957429735</v>
      </c>
      <c r="M423" s="86">
        <v>1200</v>
      </c>
      <c r="P423" s="85">
        <v>1233.2107957429735</v>
      </c>
    </row>
    <row r="424" spans="1:16" x14ac:dyDescent="0.3">
      <c r="G424" s="301"/>
      <c r="H424" s="301"/>
      <c r="I424" s="301"/>
    </row>
  </sheetData>
  <conditionalFormatting sqref="K411:K424">
    <cfRule type="expression" dxfId="1742" priority="1">
      <formula>$E411=10</formula>
    </cfRule>
    <cfRule type="expression" dxfId="1741" priority="2">
      <formula>$E411=11</formula>
    </cfRule>
    <cfRule type="expression" dxfId="1740" priority="3">
      <formula>$E411=18</formula>
    </cfRule>
    <cfRule type="expression" dxfId="1739" priority="4">
      <formula>$E411=17</formula>
    </cfRule>
    <cfRule type="expression" dxfId="1738" priority="5">
      <formula>$E411=16</formula>
    </cfRule>
    <cfRule type="expression" dxfId="1737" priority="6">
      <formula>$E411=15</formula>
    </cfRule>
    <cfRule type="expression" dxfId="1736" priority="7">
      <formula>$E411=14</formula>
    </cfRule>
    <cfRule type="expression" dxfId="1735" priority="8">
      <formula>$E411=13</formula>
    </cfRule>
    <cfRule type="expression" dxfId="1734" priority="9">
      <formula>$E411=12</formula>
    </cfRule>
  </conditionalFormatting>
  <conditionalFormatting sqref="G1:I1">
    <cfRule type="containsText" dxfId="1733" priority="587" operator="containsText" text="CSRA">
      <formula>NOT(ISERROR(SEARCH("CSRA",G1)))</formula>
    </cfRule>
  </conditionalFormatting>
  <conditionalFormatting sqref="AJ1:XFD403 A1:AG403 AJ407:XFD410 G407:I407 A409:AG410 G408:J408 N407:AG408 A425:AG1048576 AJ425:XFD1048576">
    <cfRule type="expression" dxfId="1732" priority="642">
      <formula>$E1&lt;12</formula>
    </cfRule>
    <cfRule type="expression" dxfId="1731" priority="643">
      <formula>$E1=18</formula>
    </cfRule>
    <cfRule type="expression" dxfId="1730" priority="644">
      <formula>$E1=17</formula>
    </cfRule>
    <cfRule type="expression" dxfId="1729" priority="645">
      <formula>$E1=16</formula>
    </cfRule>
    <cfRule type="expression" dxfId="1728" priority="646">
      <formula>$E1=15</formula>
    </cfRule>
    <cfRule type="expression" dxfId="1727" priority="647">
      <formula>$E1=14</formula>
    </cfRule>
    <cfRule type="expression" dxfId="1726" priority="648">
      <formula>$E1=13</formula>
    </cfRule>
    <cfRule type="expression" dxfId="1725" priority="649">
      <formula>$E1=12</formula>
    </cfRule>
  </conditionalFormatting>
  <conditionalFormatting sqref="AJ1:XFD403 A1:AG403 AJ407:XFD410 G407:I407 A409:AG410 G408:J408 N407:AG408 A425:AG1048576 AJ425:XFD1048576">
    <cfRule type="expression" dxfId="1724" priority="633">
      <formula>$E1=10</formula>
    </cfRule>
    <cfRule type="expression" dxfId="1723" priority="634">
      <formula>$E1=11</formula>
    </cfRule>
    <cfRule type="expression" dxfId="1722" priority="635">
      <formula>$E1=18</formula>
    </cfRule>
    <cfRule type="expression" dxfId="1721" priority="636">
      <formula>$E1=17</formula>
    </cfRule>
    <cfRule type="expression" dxfId="1720" priority="637">
      <formula>$E1=16</formula>
    </cfRule>
    <cfRule type="expression" dxfId="1719" priority="638">
      <formula>$E1=15</formula>
    </cfRule>
    <cfRule type="expression" dxfId="1718" priority="639">
      <formula>$E1=14</formula>
    </cfRule>
    <cfRule type="expression" dxfId="1717" priority="640">
      <formula>$E1=13</formula>
    </cfRule>
    <cfRule type="expression" dxfId="1716" priority="641">
      <formula>$E1=12</formula>
    </cfRule>
  </conditionalFormatting>
  <conditionalFormatting sqref="N255:AG255 AJ255:XFD255">
    <cfRule type="expression" dxfId="1715" priority="624">
      <formula>$E255=10</formula>
    </cfRule>
    <cfRule type="expression" dxfId="1714" priority="625">
      <formula>$E255=11</formula>
    </cfRule>
    <cfRule type="expression" dxfId="1713" priority="626">
      <formula>$E255=18</formula>
    </cfRule>
    <cfRule type="expression" dxfId="1712" priority="627">
      <formula>$E255=17</formula>
    </cfRule>
    <cfRule type="expression" dxfId="1711" priority="628">
      <formula>$E255=16</formula>
    </cfRule>
    <cfRule type="expression" dxfId="1710" priority="629">
      <formula>$E255=15</formula>
    </cfRule>
    <cfRule type="expression" dxfId="1709" priority="630">
      <formula>$E255=14</formula>
    </cfRule>
    <cfRule type="expression" dxfId="1708" priority="631">
      <formula>$E255=13</formula>
    </cfRule>
    <cfRule type="expression" dxfId="1707" priority="632">
      <formula>$E255=12</formula>
    </cfRule>
  </conditionalFormatting>
  <conditionalFormatting sqref="AJ265:XFD268 IW258:XFD263 N265:AG268">
    <cfRule type="expression" dxfId="1706" priority="615">
      <formula>$E258=10</formula>
    </cfRule>
    <cfRule type="expression" dxfId="1705" priority="616">
      <formula>$E258=11</formula>
    </cfRule>
    <cfRule type="expression" dxfId="1704" priority="617">
      <formula>$E258=18</formula>
    </cfRule>
    <cfRule type="expression" dxfId="1703" priority="618">
      <formula>$E258=17</formula>
    </cfRule>
    <cfRule type="expression" dxfId="1702" priority="619">
      <formula>$E258=16</formula>
    </cfRule>
    <cfRule type="expression" dxfId="1701" priority="620">
      <formula>$E258=15</formula>
    </cfRule>
    <cfRule type="expression" dxfId="1700" priority="621">
      <formula>$E258=14</formula>
    </cfRule>
    <cfRule type="expression" dxfId="1699" priority="622">
      <formula>$E258=13</formula>
    </cfRule>
    <cfRule type="expression" dxfId="1698" priority="623">
      <formula>$E258=12</formula>
    </cfRule>
  </conditionalFormatting>
  <conditionalFormatting sqref="N261:AG263 AJ261:IV263">
    <cfRule type="expression" dxfId="1697" priority="606">
      <formula>$E261=10</formula>
    </cfRule>
    <cfRule type="expression" dxfId="1696" priority="607">
      <formula>$E261=11</formula>
    </cfRule>
    <cfRule type="expression" dxfId="1695" priority="608">
      <formula>$E261=18</formula>
    </cfRule>
    <cfRule type="expression" dxfId="1694" priority="609">
      <formula>$E261=17</formula>
    </cfRule>
    <cfRule type="expression" dxfId="1693" priority="610">
      <formula>$E261=16</formula>
    </cfRule>
    <cfRule type="expression" dxfId="1692" priority="611">
      <formula>$E261=15</formula>
    </cfRule>
    <cfRule type="expression" dxfId="1691" priority="612">
      <formula>$E261=14</formula>
    </cfRule>
    <cfRule type="expression" dxfId="1690" priority="613">
      <formula>$E261=13</formula>
    </cfRule>
    <cfRule type="expression" dxfId="1689" priority="614">
      <formula>$E261=12</formula>
    </cfRule>
  </conditionalFormatting>
  <conditionalFormatting sqref="H261">
    <cfRule type="expression" dxfId="1688" priority="551">
      <formula>$E261=10</formula>
    </cfRule>
    <cfRule type="expression" dxfId="1687" priority="552">
      <formula>$E261=11</formula>
    </cfRule>
    <cfRule type="expression" dxfId="1686" priority="553">
      <formula>$E261=18</formula>
    </cfRule>
    <cfRule type="expression" dxfId="1685" priority="554">
      <formula>$E261=17</formula>
    </cfRule>
    <cfRule type="expression" dxfId="1684" priority="555">
      <formula>$E261=16</formula>
    </cfRule>
    <cfRule type="expression" dxfId="1683" priority="556">
      <formula>$E261=15</formula>
    </cfRule>
    <cfRule type="expression" dxfId="1682" priority="557">
      <formula>$E261=14</formula>
    </cfRule>
    <cfRule type="expression" dxfId="1681" priority="558">
      <formula>$E261=13</formula>
    </cfRule>
    <cfRule type="expression" dxfId="1680" priority="559">
      <formula>$E261=12</formula>
    </cfRule>
  </conditionalFormatting>
  <conditionalFormatting sqref="N258:AG260 AJ258:IV260">
    <cfRule type="expression" dxfId="1679" priority="597">
      <formula>$E258=10</formula>
    </cfRule>
    <cfRule type="expression" dxfId="1678" priority="598">
      <formula>$E258=11</formula>
    </cfRule>
    <cfRule type="expression" dxfId="1677" priority="599">
      <formula>$E258=18</formula>
    </cfRule>
    <cfRule type="expression" dxfId="1676" priority="600">
      <formula>$E258=17</formula>
    </cfRule>
    <cfRule type="expression" dxfId="1675" priority="601">
      <formula>$E258=16</formula>
    </cfRule>
    <cfRule type="expression" dxfId="1674" priority="602">
      <formula>$E258=15</formula>
    </cfRule>
    <cfRule type="expression" dxfId="1673" priority="603">
      <formula>$E258=14</formula>
    </cfRule>
    <cfRule type="expression" dxfId="1672" priority="604">
      <formula>$E258=13</formula>
    </cfRule>
    <cfRule type="expression" dxfId="1671" priority="605">
      <formula>$E258=12</formula>
    </cfRule>
  </conditionalFormatting>
  <conditionalFormatting sqref="N264:AG264 AJ264:XFD264">
    <cfRule type="expression" dxfId="1670" priority="588">
      <formula>$E264=10</formula>
    </cfRule>
    <cfRule type="expression" dxfId="1669" priority="589">
      <formula>$E264=11</formula>
    </cfRule>
    <cfRule type="expression" dxfId="1668" priority="590">
      <formula>$E264=18</formula>
    </cfRule>
    <cfRule type="expression" dxfId="1667" priority="591">
      <formula>$E264=17</formula>
    </cfRule>
    <cfRule type="expression" dxfId="1666" priority="592">
      <formula>$E264=16</formula>
    </cfRule>
    <cfRule type="expression" dxfId="1665" priority="593">
      <formula>$E264=15</formula>
    </cfRule>
    <cfRule type="expression" dxfId="1664" priority="594">
      <formula>$E264=14</formula>
    </cfRule>
    <cfRule type="expression" dxfId="1663" priority="595">
      <formula>$E264=13</formula>
    </cfRule>
    <cfRule type="expression" dxfId="1662" priority="596">
      <formula>$E264=12</formula>
    </cfRule>
  </conditionalFormatting>
  <conditionalFormatting sqref="M264">
    <cfRule type="expression" dxfId="1661" priority="524">
      <formula>$E264=10</formula>
    </cfRule>
    <cfRule type="expression" dxfId="1660" priority="525">
      <formula>$E264=11</formula>
    </cfRule>
    <cfRule type="expression" dxfId="1659" priority="526">
      <formula>$E264=18</formula>
    </cfRule>
    <cfRule type="expression" dxfId="1658" priority="527">
      <formula>$E264=17</formula>
    </cfRule>
    <cfRule type="expression" dxfId="1657" priority="528">
      <formula>$E264=16</formula>
    </cfRule>
    <cfRule type="expression" dxfId="1656" priority="529">
      <formula>$E264=15</formula>
    </cfRule>
    <cfRule type="expression" dxfId="1655" priority="530">
      <formula>$E264=14</formula>
    </cfRule>
    <cfRule type="expression" dxfId="1654" priority="531">
      <formula>$E264=13</formula>
    </cfRule>
    <cfRule type="expression" dxfId="1653" priority="532">
      <formula>$E264=12</formula>
    </cfRule>
  </conditionalFormatting>
  <conditionalFormatting sqref="K264">
    <cfRule type="expression" dxfId="1652" priority="515">
      <formula>$E264=10</formula>
    </cfRule>
    <cfRule type="expression" dxfId="1651" priority="516">
      <formula>$E264=11</formula>
    </cfRule>
    <cfRule type="expression" dxfId="1650" priority="517">
      <formula>$E264=18</formula>
    </cfRule>
    <cfRule type="expression" dxfId="1649" priority="518">
      <formula>$E264=17</formula>
    </cfRule>
    <cfRule type="expression" dxfId="1648" priority="519">
      <formula>$E264=16</formula>
    </cfRule>
    <cfRule type="expression" dxfId="1647" priority="520">
      <formula>$E264=15</formula>
    </cfRule>
    <cfRule type="expression" dxfId="1646" priority="521">
      <formula>$E264=14</formula>
    </cfRule>
    <cfRule type="expression" dxfId="1645" priority="522">
      <formula>$E264=13</formula>
    </cfRule>
    <cfRule type="expression" dxfId="1644" priority="523">
      <formula>$E264=12</formula>
    </cfRule>
  </conditionalFormatting>
  <conditionalFormatting sqref="G264">
    <cfRule type="expression" dxfId="1643" priority="506">
      <formula>$E264=10</formula>
    </cfRule>
    <cfRule type="expression" dxfId="1642" priority="507">
      <formula>$E264=11</formula>
    </cfRule>
    <cfRule type="expression" dxfId="1641" priority="508">
      <formula>$E264=18</formula>
    </cfRule>
    <cfRule type="expression" dxfId="1640" priority="509">
      <formula>$E264=17</formula>
    </cfRule>
    <cfRule type="expression" dxfId="1639" priority="510">
      <formula>$E264=16</formula>
    </cfRule>
    <cfRule type="expression" dxfId="1638" priority="511">
      <formula>$E264=15</formula>
    </cfRule>
    <cfRule type="expression" dxfId="1637" priority="512">
      <formula>$E264=14</formula>
    </cfRule>
    <cfRule type="expression" dxfId="1636" priority="513">
      <formula>$E264=13</formula>
    </cfRule>
    <cfRule type="expression" dxfId="1635" priority="514">
      <formula>$E264=12</formula>
    </cfRule>
  </conditionalFormatting>
  <conditionalFormatting sqref="C264:F264">
    <cfRule type="expression" dxfId="1634" priority="497">
      <formula>$E264=10</formula>
    </cfRule>
    <cfRule type="expression" dxfId="1633" priority="498">
      <formula>$E264=11</formula>
    </cfRule>
    <cfRule type="expression" dxfId="1632" priority="499">
      <formula>$E264=18</formula>
    </cfRule>
    <cfRule type="expression" dxfId="1631" priority="500">
      <formula>$E264=17</formula>
    </cfRule>
    <cfRule type="expression" dxfId="1630" priority="501">
      <formula>$E264=16</formula>
    </cfRule>
    <cfRule type="expression" dxfId="1629" priority="502">
      <formula>$E264=15</formula>
    </cfRule>
    <cfRule type="expression" dxfId="1628" priority="503">
      <formula>$E264=14</formula>
    </cfRule>
    <cfRule type="expression" dxfId="1627" priority="504">
      <formula>$E264=13</formula>
    </cfRule>
    <cfRule type="expression" dxfId="1626" priority="505">
      <formula>$E264=12</formula>
    </cfRule>
  </conditionalFormatting>
  <conditionalFormatting sqref="A255:M255">
    <cfRule type="expression" dxfId="1625" priority="578">
      <formula>$E255=10</formula>
    </cfRule>
    <cfRule type="expression" dxfId="1624" priority="579">
      <formula>$E255=11</formula>
    </cfRule>
    <cfRule type="expression" dxfId="1623" priority="580">
      <formula>$E255=18</formula>
    </cfRule>
    <cfRule type="expression" dxfId="1622" priority="581">
      <formula>$E255=17</formula>
    </cfRule>
    <cfRule type="expression" dxfId="1621" priority="582">
      <formula>$E255=16</formula>
    </cfRule>
    <cfRule type="expression" dxfId="1620" priority="583">
      <formula>$E255=15</formula>
    </cfRule>
    <cfRule type="expression" dxfId="1619" priority="584">
      <formula>$E255=14</formula>
    </cfRule>
    <cfRule type="expression" dxfId="1618" priority="585">
      <formula>$E255=13</formula>
    </cfRule>
    <cfRule type="expression" dxfId="1617" priority="586">
      <formula>$E255=12</formula>
    </cfRule>
  </conditionalFormatting>
  <conditionalFormatting sqref="A265:M268">
    <cfRule type="expression" dxfId="1616" priority="569">
      <formula>$E265=10</formula>
    </cfRule>
    <cfRule type="expression" dxfId="1615" priority="570">
      <formula>$E265=11</formula>
    </cfRule>
    <cfRule type="expression" dxfId="1614" priority="571">
      <formula>$E265=18</formula>
    </cfRule>
    <cfRule type="expression" dxfId="1613" priority="572">
      <formula>$E265=17</formula>
    </cfRule>
    <cfRule type="expression" dxfId="1612" priority="573">
      <formula>$E265=16</formula>
    </cfRule>
    <cfRule type="expression" dxfId="1611" priority="574">
      <formula>$E265=15</formula>
    </cfRule>
    <cfRule type="expression" dxfId="1610" priority="575">
      <formula>$E265=14</formula>
    </cfRule>
    <cfRule type="expression" dxfId="1609" priority="576">
      <formula>$E265=13</formula>
    </cfRule>
    <cfRule type="expression" dxfId="1608" priority="577">
      <formula>$E265=12</formula>
    </cfRule>
  </conditionalFormatting>
  <conditionalFormatting sqref="A262:M262 A261:F261 J261:M261 H263 K263:M263 A263:F263">
    <cfRule type="expression" dxfId="1607" priority="560">
      <formula>$E261=10</formula>
    </cfRule>
    <cfRule type="expression" dxfId="1606" priority="561">
      <formula>$E261=11</formula>
    </cfRule>
    <cfRule type="expression" dxfId="1605" priority="562">
      <formula>$E261=18</formula>
    </cfRule>
    <cfRule type="expression" dxfId="1604" priority="563">
      <formula>$E261=17</formula>
    </cfRule>
    <cfRule type="expression" dxfId="1603" priority="564">
      <formula>$E261=16</formula>
    </cfRule>
    <cfRule type="expression" dxfId="1602" priority="565">
      <formula>$E261=15</formula>
    </cfRule>
    <cfRule type="expression" dxfId="1601" priority="566">
      <formula>$E261=14</formula>
    </cfRule>
    <cfRule type="expression" dxfId="1600" priority="567">
      <formula>$E261=13</formula>
    </cfRule>
    <cfRule type="expression" dxfId="1599" priority="568">
      <formula>$E261=12</formula>
    </cfRule>
  </conditionalFormatting>
  <conditionalFormatting sqref="A258:M260">
    <cfRule type="expression" dxfId="1598" priority="542">
      <formula>$E258=10</formula>
    </cfRule>
    <cfRule type="expression" dxfId="1597" priority="543">
      <formula>$E258=11</formula>
    </cfRule>
    <cfRule type="expression" dxfId="1596" priority="544">
      <formula>$E258=18</formula>
    </cfRule>
    <cfRule type="expression" dxfId="1595" priority="545">
      <formula>$E258=17</formula>
    </cfRule>
    <cfRule type="expression" dxfId="1594" priority="546">
      <formula>$E258=16</formula>
    </cfRule>
    <cfRule type="expression" dxfId="1593" priority="547">
      <formula>$E258=15</formula>
    </cfRule>
    <cfRule type="expression" dxfId="1592" priority="548">
      <formula>$E258=14</formula>
    </cfRule>
    <cfRule type="expression" dxfId="1591" priority="549">
      <formula>$E258=13</formula>
    </cfRule>
    <cfRule type="expression" dxfId="1590" priority="550">
      <formula>$E258=12</formula>
    </cfRule>
  </conditionalFormatting>
  <conditionalFormatting sqref="A264:B264 J264 L264 H264">
    <cfRule type="expression" dxfId="1589" priority="533">
      <formula>$E264=10</formula>
    </cfRule>
    <cfRule type="expression" dxfId="1588" priority="534">
      <formula>$E264=11</formula>
    </cfRule>
    <cfRule type="expression" dxfId="1587" priority="535">
      <formula>$E264=18</formula>
    </cfRule>
    <cfRule type="expression" dxfId="1586" priority="536">
      <formula>$E264=17</formula>
    </cfRule>
    <cfRule type="expression" dxfId="1585" priority="537">
      <formula>$E264=16</formula>
    </cfRule>
    <cfRule type="expression" dxfId="1584" priority="538">
      <formula>$E264=15</formula>
    </cfRule>
    <cfRule type="expression" dxfId="1583" priority="539">
      <formula>$E264=14</formula>
    </cfRule>
    <cfRule type="expression" dxfId="1582" priority="540">
      <formula>$E264=13</formula>
    </cfRule>
    <cfRule type="expression" dxfId="1581" priority="541">
      <formula>$E264=12</formula>
    </cfRule>
  </conditionalFormatting>
  <conditionalFormatting sqref="N406:AG406 AJ406:XFD406">
    <cfRule type="expression" dxfId="1580" priority="489">
      <formula>$E406&lt;12</formula>
    </cfRule>
    <cfRule type="expression" dxfId="1579" priority="490">
      <formula>$E406=18</formula>
    </cfRule>
    <cfRule type="expression" dxfId="1578" priority="491">
      <formula>$E406=17</formula>
    </cfRule>
    <cfRule type="expression" dxfId="1577" priority="492">
      <formula>$E406=16</formula>
    </cfRule>
    <cfRule type="expression" dxfId="1576" priority="493">
      <formula>$E406=15</formula>
    </cfRule>
    <cfRule type="expression" dxfId="1575" priority="494">
      <formula>$E406=14</formula>
    </cfRule>
    <cfRule type="expression" dxfId="1574" priority="495">
      <formula>$E406=13</formula>
    </cfRule>
    <cfRule type="expression" dxfId="1573" priority="496">
      <formula>$E406=12</formula>
    </cfRule>
  </conditionalFormatting>
  <conditionalFormatting sqref="N406:AG406 AJ406:XFD406">
    <cfRule type="expression" dxfId="1572" priority="480">
      <formula>$E406=10</formula>
    </cfRule>
    <cfRule type="expression" dxfId="1571" priority="481">
      <formula>$E406=11</formula>
    </cfRule>
    <cfRule type="expression" dxfId="1570" priority="482">
      <formula>$E406=18</formula>
    </cfRule>
    <cfRule type="expression" dxfId="1569" priority="483">
      <formula>$E406=17</formula>
    </cfRule>
    <cfRule type="expression" dxfId="1568" priority="484">
      <formula>$E406=16</formula>
    </cfRule>
    <cfRule type="expression" dxfId="1567" priority="485">
      <formula>$E406=15</formula>
    </cfRule>
    <cfRule type="expression" dxfId="1566" priority="486">
      <formula>$E406=14</formula>
    </cfRule>
    <cfRule type="expression" dxfId="1565" priority="487">
      <formula>$E406=13</formula>
    </cfRule>
    <cfRule type="expression" dxfId="1564" priority="488">
      <formula>$E406=12</formula>
    </cfRule>
  </conditionalFormatting>
  <conditionalFormatting sqref="G406:J406">
    <cfRule type="expression" dxfId="1563" priority="472">
      <formula>$E406&lt;12</formula>
    </cfRule>
    <cfRule type="expression" dxfId="1562" priority="473">
      <formula>$E406=18</formula>
    </cfRule>
    <cfRule type="expression" dxfId="1561" priority="474">
      <formula>$E406=17</formula>
    </cfRule>
    <cfRule type="expression" dxfId="1560" priority="475">
      <formula>$E406=16</formula>
    </cfRule>
    <cfRule type="expression" dxfId="1559" priority="476">
      <formula>$E406=15</formula>
    </cfRule>
    <cfRule type="expression" dxfId="1558" priority="477">
      <formula>$E406=14</formula>
    </cfRule>
    <cfRule type="expression" dxfId="1557" priority="478">
      <formula>$E406=13</formula>
    </cfRule>
    <cfRule type="expression" dxfId="1556" priority="479">
      <formula>$E406=12</formula>
    </cfRule>
  </conditionalFormatting>
  <conditionalFormatting sqref="G406:J406">
    <cfRule type="expression" dxfId="1555" priority="463">
      <formula>$E406=10</formula>
    </cfRule>
    <cfRule type="expression" dxfId="1554" priority="464">
      <formula>$E406=11</formula>
    </cfRule>
    <cfRule type="expression" dxfId="1553" priority="465">
      <formula>$E406=18</formula>
    </cfRule>
    <cfRule type="expression" dxfId="1552" priority="466">
      <formula>$E406=17</formula>
    </cfRule>
    <cfRule type="expression" dxfId="1551" priority="467">
      <formula>$E406=16</formula>
    </cfRule>
    <cfRule type="expression" dxfId="1550" priority="468">
      <formula>$E406=15</formula>
    </cfRule>
    <cfRule type="expression" dxfId="1549" priority="469">
      <formula>$E406=14</formula>
    </cfRule>
    <cfRule type="expression" dxfId="1548" priority="470">
      <formula>$E406=13</formula>
    </cfRule>
    <cfRule type="expression" dxfId="1547" priority="471">
      <formula>$E406=12</formula>
    </cfRule>
  </conditionalFormatting>
  <conditionalFormatting sqref="AJ404:XFD404 N404:AG404">
    <cfRule type="expression" dxfId="1546" priority="455">
      <formula>$E404&lt;12</formula>
    </cfRule>
    <cfRule type="expression" dxfId="1545" priority="456">
      <formula>$E404=18</formula>
    </cfRule>
    <cfRule type="expression" dxfId="1544" priority="457">
      <formula>$E404=17</formula>
    </cfRule>
    <cfRule type="expression" dxfId="1543" priority="458">
      <formula>$E404=16</formula>
    </cfRule>
    <cfRule type="expression" dxfId="1542" priority="459">
      <formula>$E404=15</formula>
    </cfRule>
    <cfRule type="expression" dxfId="1541" priority="460">
      <formula>$E404=14</formula>
    </cfRule>
    <cfRule type="expression" dxfId="1540" priority="461">
      <formula>$E404=13</formula>
    </cfRule>
    <cfRule type="expression" dxfId="1539" priority="462">
      <formula>$E404=12</formula>
    </cfRule>
  </conditionalFormatting>
  <conditionalFormatting sqref="AJ404:XFD404 N404:AG404">
    <cfRule type="expression" dxfId="1538" priority="446">
      <formula>$E404=10</formula>
    </cfRule>
    <cfRule type="expression" dxfId="1537" priority="447">
      <formula>$E404=11</formula>
    </cfRule>
    <cfRule type="expression" dxfId="1536" priority="448">
      <formula>$E404=18</formula>
    </cfRule>
    <cfRule type="expression" dxfId="1535" priority="449">
      <formula>$E404=17</formula>
    </cfRule>
    <cfRule type="expression" dxfId="1534" priority="450">
      <formula>$E404=16</formula>
    </cfRule>
    <cfRule type="expression" dxfId="1533" priority="451">
      <formula>$E404=15</formula>
    </cfRule>
    <cfRule type="expression" dxfId="1532" priority="452">
      <formula>$E404=14</formula>
    </cfRule>
    <cfRule type="expression" dxfId="1531" priority="453">
      <formula>$E404=13</formula>
    </cfRule>
    <cfRule type="expression" dxfId="1530" priority="454">
      <formula>$E404=12</formula>
    </cfRule>
  </conditionalFormatting>
  <conditionalFormatting sqref="K404">
    <cfRule type="expression" dxfId="1529" priority="420">
      <formula>$E404=10</formula>
    </cfRule>
    <cfRule type="expression" dxfId="1528" priority="421">
      <formula>$E404=11</formula>
    </cfRule>
    <cfRule type="expression" dxfId="1527" priority="422">
      <formula>$E404=18</formula>
    </cfRule>
    <cfRule type="expression" dxfId="1526" priority="423">
      <formula>$E404=17</formula>
    </cfRule>
    <cfRule type="expression" dxfId="1525" priority="424">
      <formula>$E404=16</formula>
    </cfRule>
    <cfRule type="expression" dxfId="1524" priority="425">
      <formula>$E404=15</formula>
    </cfRule>
    <cfRule type="expression" dxfId="1523" priority="426">
      <formula>$E404=14</formula>
    </cfRule>
    <cfRule type="expression" dxfId="1522" priority="427">
      <formula>$E404=13</formula>
    </cfRule>
    <cfRule type="expression" dxfId="1521" priority="428">
      <formula>$E404=12</formula>
    </cfRule>
  </conditionalFormatting>
  <conditionalFormatting sqref="A404:M404">
    <cfRule type="expression" dxfId="1520" priority="438">
      <formula>$E404&lt;12</formula>
    </cfRule>
    <cfRule type="expression" dxfId="1519" priority="439">
      <formula>$E404=18</formula>
    </cfRule>
    <cfRule type="expression" dxfId="1518" priority="440">
      <formula>$E404=17</formula>
    </cfRule>
    <cfRule type="expression" dxfId="1517" priority="441">
      <formula>$E404=16</formula>
    </cfRule>
    <cfRule type="expression" dxfId="1516" priority="442">
      <formula>$E404=15</formula>
    </cfRule>
    <cfRule type="expression" dxfId="1515" priority="443">
      <formula>$E404=14</formula>
    </cfRule>
    <cfRule type="expression" dxfId="1514" priority="444">
      <formula>$E404=13</formula>
    </cfRule>
    <cfRule type="expression" dxfId="1513" priority="445">
      <formula>$E404=12</formula>
    </cfRule>
  </conditionalFormatting>
  <conditionalFormatting sqref="A404:M404">
    <cfRule type="expression" dxfId="1512" priority="429">
      <formula>$E404=10</formula>
    </cfRule>
    <cfRule type="expression" dxfId="1511" priority="430">
      <formula>$E404=11</formula>
    </cfRule>
    <cfRule type="expression" dxfId="1510" priority="431">
      <formula>$E404=18</formula>
    </cfRule>
    <cfRule type="expression" dxfId="1509" priority="432">
      <formula>$E404=17</formula>
    </cfRule>
    <cfRule type="expression" dxfId="1508" priority="433">
      <formula>$E404=16</formula>
    </cfRule>
    <cfRule type="expression" dxfId="1507" priority="434">
      <formula>$E404=15</formula>
    </cfRule>
    <cfRule type="expression" dxfId="1506" priority="435">
      <formula>$E404=14</formula>
    </cfRule>
    <cfRule type="expression" dxfId="1505" priority="436">
      <formula>$E404=13</formula>
    </cfRule>
    <cfRule type="expression" dxfId="1504" priority="437">
      <formula>$E404=12</formula>
    </cfRule>
  </conditionalFormatting>
  <conditionalFormatting sqref="AJ405:XFD405 N405:AG405">
    <cfRule type="expression" dxfId="1503" priority="412">
      <formula>$E405&lt;12</formula>
    </cfRule>
    <cfRule type="expression" dxfId="1502" priority="413">
      <formula>$E405=18</formula>
    </cfRule>
    <cfRule type="expression" dxfId="1501" priority="414">
      <formula>$E405=17</formula>
    </cfRule>
    <cfRule type="expression" dxfId="1500" priority="415">
      <formula>$E405=16</formula>
    </cfRule>
    <cfRule type="expression" dxfId="1499" priority="416">
      <formula>$E405=15</formula>
    </cfRule>
    <cfRule type="expression" dxfId="1498" priority="417">
      <formula>$E405=14</formula>
    </cfRule>
    <cfRule type="expression" dxfId="1497" priority="418">
      <formula>$E405=13</formula>
    </cfRule>
    <cfRule type="expression" dxfId="1496" priority="419">
      <formula>$E405=12</formula>
    </cfRule>
  </conditionalFormatting>
  <conditionalFormatting sqref="AJ405:XFD405 N405:AG405">
    <cfRule type="expression" dxfId="1495" priority="403">
      <formula>$E405=10</formula>
    </cfRule>
    <cfRule type="expression" dxfId="1494" priority="404">
      <formula>$E405=11</formula>
    </cfRule>
    <cfRule type="expression" dxfId="1493" priority="405">
      <formula>$E405=18</formula>
    </cfRule>
    <cfRule type="expression" dxfId="1492" priority="406">
      <formula>$E405=17</formula>
    </cfRule>
    <cfRule type="expression" dxfId="1491" priority="407">
      <formula>$E405=16</formula>
    </cfRule>
    <cfRule type="expression" dxfId="1490" priority="408">
      <formula>$E405=15</formula>
    </cfRule>
    <cfRule type="expression" dxfId="1489" priority="409">
      <formula>$E405=14</formula>
    </cfRule>
    <cfRule type="expression" dxfId="1488" priority="410">
      <formula>$E405=13</formula>
    </cfRule>
    <cfRule type="expression" dxfId="1487" priority="411">
      <formula>$E405=12</formula>
    </cfRule>
  </conditionalFormatting>
  <conditionalFormatting sqref="G405:J405 L405:M405">
    <cfRule type="expression" dxfId="1486" priority="395">
      <formula>$E405&lt;12</formula>
    </cfRule>
    <cfRule type="expression" dxfId="1485" priority="396">
      <formula>$E405=18</formula>
    </cfRule>
    <cfRule type="expression" dxfId="1484" priority="397">
      <formula>$E405=17</formula>
    </cfRule>
    <cfRule type="expression" dxfId="1483" priority="398">
      <formula>$E405=16</formula>
    </cfRule>
    <cfRule type="expression" dxfId="1482" priority="399">
      <formula>$E405=15</formula>
    </cfRule>
    <cfRule type="expression" dxfId="1481" priority="400">
      <formula>$E405=14</formula>
    </cfRule>
    <cfRule type="expression" dxfId="1480" priority="401">
      <formula>$E405=13</formula>
    </cfRule>
    <cfRule type="expression" dxfId="1479" priority="402">
      <formula>$E405=12</formula>
    </cfRule>
  </conditionalFormatting>
  <conditionalFormatting sqref="G405:J405 L405:M405">
    <cfRule type="expression" dxfId="1478" priority="386">
      <formula>$E405=10</formula>
    </cfRule>
    <cfRule type="expression" dxfId="1477" priority="387">
      <formula>$E405=11</formula>
    </cfRule>
    <cfRule type="expression" dxfId="1476" priority="388">
      <formula>$E405=18</formula>
    </cfRule>
    <cfRule type="expression" dxfId="1475" priority="389">
      <formula>$E405=17</formula>
    </cfRule>
    <cfRule type="expression" dxfId="1474" priority="390">
      <formula>$E405=16</formula>
    </cfRule>
    <cfRule type="expression" dxfId="1473" priority="391">
      <formula>$E405=15</formula>
    </cfRule>
    <cfRule type="expression" dxfId="1472" priority="392">
      <formula>$E405=14</formula>
    </cfRule>
    <cfRule type="expression" dxfId="1471" priority="393">
      <formula>$E405=13</formula>
    </cfRule>
    <cfRule type="expression" dxfId="1470" priority="394">
      <formula>$E405=12</formula>
    </cfRule>
  </conditionalFormatting>
  <conditionalFormatting sqref="A405:F405">
    <cfRule type="expression" dxfId="1469" priority="378">
      <formula>$E405&lt;12</formula>
    </cfRule>
    <cfRule type="expression" dxfId="1468" priority="379">
      <formula>$E405=18</formula>
    </cfRule>
    <cfRule type="expression" dxfId="1467" priority="380">
      <formula>$E405=17</formula>
    </cfRule>
    <cfRule type="expression" dxfId="1466" priority="381">
      <formula>$E405=16</formula>
    </cfRule>
    <cfRule type="expression" dxfId="1465" priority="382">
      <formula>$E405=15</formula>
    </cfRule>
    <cfRule type="expression" dxfId="1464" priority="383">
      <formula>$E405=14</formula>
    </cfRule>
    <cfRule type="expression" dxfId="1463" priority="384">
      <formula>$E405=13</formula>
    </cfRule>
    <cfRule type="expression" dxfId="1462" priority="385">
      <formula>$E405=12</formula>
    </cfRule>
  </conditionalFormatting>
  <conditionalFormatting sqref="A405:F405">
    <cfRule type="expression" dxfId="1461" priority="369">
      <formula>$E405=10</formula>
    </cfRule>
    <cfRule type="expression" dxfId="1460" priority="370">
      <formula>$E405=11</formula>
    </cfRule>
    <cfRule type="expression" dxfId="1459" priority="371">
      <formula>$E405=18</formula>
    </cfRule>
    <cfRule type="expression" dxfId="1458" priority="372">
      <formula>$E405=17</formula>
    </cfRule>
    <cfRule type="expression" dxfId="1457" priority="373">
      <formula>$E405=16</formula>
    </cfRule>
    <cfRule type="expression" dxfId="1456" priority="374">
      <formula>$E405=15</formula>
    </cfRule>
    <cfRule type="expression" dxfId="1455" priority="375">
      <formula>$E405=14</formula>
    </cfRule>
    <cfRule type="expression" dxfId="1454" priority="376">
      <formula>$E405=13</formula>
    </cfRule>
    <cfRule type="expression" dxfId="1453" priority="377">
      <formula>$E405=12</formula>
    </cfRule>
  </conditionalFormatting>
  <conditionalFormatting sqref="K405">
    <cfRule type="expression" dxfId="1452" priority="343">
      <formula>$E405=10</formula>
    </cfRule>
    <cfRule type="expression" dxfId="1451" priority="344">
      <formula>$E405=11</formula>
    </cfRule>
    <cfRule type="expression" dxfId="1450" priority="345">
      <formula>$E405=18</formula>
    </cfRule>
    <cfRule type="expression" dxfId="1449" priority="346">
      <formula>$E405=17</formula>
    </cfRule>
    <cfRule type="expression" dxfId="1448" priority="347">
      <formula>$E405=16</formula>
    </cfRule>
    <cfRule type="expression" dxfId="1447" priority="348">
      <formula>$E405=15</formula>
    </cfRule>
    <cfRule type="expression" dxfId="1446" priority="349">
      <formula>$E405=14</formula>
    </cfRule>
    <cfRule type="expression" dxfId="1445" priority="350">
      <formula>$E405=13</formula>
    </cfRule>
    <cfRule type="expression" dxfId="1444" priority="351">
      <formula>$E405=12</formula>
    </cfRule>
  </conditionalFormatting>
  <conditionalFormatting sqref="K405">
    <cfRule type="expression" dxfId="1443" priority="361">
      <formula>$E405&lt;12</formula>
    </cfRule>
    <cfRule type="expression" dxfId="1442" priority="362">
      <formula>$E405=18</formula>
    </cfRule>
    <cfRule type="expression" dxfId="1441" priority="363">
      <formula>$E405=17</formula>
    </cfRule>
    <cfRule type="expression" dxfId="1440" priority="364">
      <formula>$E405=16</formula>
    </cfRule>
    <cfRule type="expression" dxfId="1439" priority="365">
      <formula>$E405=15</formula>
    </cfRule>
    <cfRule type="expression" dxfId="1438" priority="366">
      <formula>$E405=14</formula>
    </cfRule>
    <cfRule type="expression" dxfId="1437" priority="367">
      <formula>$E405=13</formula>
    </cfRule>
    <cfRule type="expression" dxfId="1436" priority="368">
      <formula>$E405=12</formula>
    </cfRule>
  </conditionalFormatting>
  <conditionalFormatting sqref="K405">
    <cfRule type="expression" dxfId="1435" priority="352">
      <formula>$E405=10</formula>
    </cfRule>
    <cfRule type="expression" dxfId="1434" priority="353">
      <formula>$E405=11</formula>
    </cfRule>
    <cfRule type="expression" dxfId="1433" priority="354">
      <formula>$E405=18</formula>
    </cfRule>
    <cfRule type="expression" dxfId="1432" priority="355">
      <formula>$E405=17</formula>
    </cfRule>
    <cfRule type="expression" dxfId="1431" priority="356">
      <formula>$E405=16</formula>
    </cfRule>
    <cfRule type="expression" dxfId="1430" priority="357">
      <formula>$E405=15</formula>
    </cfRule>
    <cfRule type="expression" dxfId="1429" priority="358">
      <formula>$E405=14</formula>
    </cfRule>
    <cfRule type="expression" dxfId="1428" priority="359">
      <formula>$E405=13</formula>
    </cfRule>
    <cfRule type="expression" dxfId="1427" priority="360">
      <formula>$E405=12</formula>
    </cfRule>
  </conditionalFormatting>
  <conditionalFormatting sqref="A406:F406">
    <cfRule type="expression" dxfId="1426" priority="335">
      <formula>$E406&lt;12</formula>
    </cfRule>
    <cfRule type="expression" dxfId="1425" priority="336">
      <formula>$E406=18</formula>
    </cfRule>
    <cfRule type="expression" dxfId="1424" priority="337">
      <formula>$E406=17</formula>
    </cfRule>
    <cfRule type="expression" dxfId="1423" priority="338">
      <formula>$E406=16</formula>
    </cfRule>
    <cfRule type="expression" dxfId="1422" priority="339">
      <formula>$E406=15</formula>
    </cfRule>
    <cfRule type="expression" dxfId="1421" priority="340">
      <formula>$E406=14</formula>
    </cfRule>
    <cfRule type="expression" dxfId="1420" priority="341">
      <formula>$E406=13</formula>
    </cfRule>
    <cfRule type="expression" dxfId="1419" priority="342">
      <formula>$E406=12</formula>
    </cfRule>
  </conditionalFormatting>
  <conditionalFormatting sqref="A406:F406">
    <cfRule type="expression" dxfId="1418" priority="326">
      <formula>$E406=10</formula>
    </cfRule>
    <cfRule type="expression" dxfId="1417" priority="327">
      <formula>$E406=11</formula>
    </cfRule>
    <cfRule type="expression" dxfId="1416" priority="328">
      <formula>$E406=18</formula>
    </cfRule>
    <cfRule type="expression" dxfId="1415" priority="329">
      <formula>$E406=17</formula>
    </cfRule>
    <cfRule type="expression" dxfId="1414" priority="330">
      <formula>$E406=16</formula>
    </cfRule>
    <cfRule type="expression" dxfId="1413" priority="331">
      <formula>$E406=15</formula>
    </cfRule>
    <cfRule type="expression" dxfId="1412" priority="332">
      <formula>$E406=14</formula>
    </cfRule>
    <cfRule type="expression" dxfId="1411" priority="333">
      <formula>$E406=13</formula>
    </cfRule>
    <cfRule type="expression" dxfId="1410" priority="334">
      <formula>$E406=12</formula>
    </cfRule>
  </conditionalFormatting>
  <conditionalFormatting sqref="L406:M406">
    <cfRule type="expression" dxfId="1409" priority="318">
      <formula>$E406&lt;12</formula>
    </cfRule>
    <cfRule type="expression" dxfId="1408" priority="319">
      <formula>$E406=18</formula>
    </cfRule>
    <cfRule type="expression" dxfId="1407" priority="320">
      <formula>$E406=17</formula>
    </cfRule>
    <cfRule type="expression" dxfId="1406" priority="321">
      <formula>$E406=16</formula>
    </cfRule>
    <cfRule type="expression" dxfId="1405" priority="322">
      <formula>$E406=15</formula>
    </cfRule>
    <cfRule type="expression" dxfId="1404" priority="323">
      <formula>$E406=14</formula>
    </cfRule>
    <cfRule type="expression" dxfId="1403" priority="324">
      <formula>$E406=13</formula>
    </cfRule>
    <cfRule type="expression" dxfId="1402" priority="325">
      <formula>$E406=12</formula>
    </cfRule>
  </conditionalFormatting>
  <conditionalFormatting sqref="L406:M406">
    <cfRule type="expression" dxfId="1401" priority="309">
      <formula>$E406=10</formula>
    </cfRule>
    <cfRule type="expression" dxfId="1400" priority="310">
      <formula>$E406=11</formula>
    </cfRule>
    <cfRule type="expression" dxfId="1399" priority="311">
      <formula>$E406=18</formula>
    </cfRule>
    <cfRule type="expression" dxfId="1398" priority="312">
      <formula>$E406=17</formula>
    </cfRule>
    <cfRule type="expression" dxfId="1397" priority="313">
      <formula>$E406=16</formula>
    </cfRule>
    <cfRule type="expression" dxfId="1396" priority="314">
      <formula>$E406=15</formula>
    </cfRule>
    <cfRule type="expression" dxfId="1395" priority="315">
      <formula>$E406=14</formula>
    </cfRule>
    <cfRule type="expression" dxfId="1394" priority="316">
      <formula>$E406=13</formula>
    </cfRule>
    <cfRule type="expression" dxfId="1393" priority="317">
      <formula>$E406=12</formula>
    </cfRule>
  </conditionalFormatting>
  <conditionalFormatting sqref="K406">
    <cfRule type="expression" dxfId="1392" priority="283">
      <formula>$E406=10</formula>
    </cfRule>
    <cfRule type="expression" dxfId="1391" priority="284">
      <formula>$E406=11</formula>
    </cfRule>
    <cfRule type="expression" dxfId="1390" priority="285">
      <formula>$E406=18</formula>
    </cfRule>
    <cfRule type="expression" dxfId="1389" priority="286">
      <formula>$E406=17</formula>
    </cfRule>
    <cfRule type="expression" dxfId="1388" priority="287">
      <formula>$E406=16</formula>
    </cfRule>
    <cfRule type="expression" dxfId="1387" priority="288">
      <formula>$E406=15</formula>
    </cfRule>
    <cfRule type="expression" dxfId="1386" priority="289">
      <formula>$E406=14</formula>
    </cfRule>
    <cfRule type="expression" dxfId="1385" priority="290">
      <formula>$E406=13</formula>
    </cfRule>
    <cfRule type="expression" dxfId="1384" priority="291">
      <formula>$E406=12</formula>
    </cfRule>
  </conditionalFormatting>
  <conditionalFormatting sqref="K406">
    <cfRule type="expression" dxfId="1383" priority="301">
      <formula>$E406&lt;12</formula>
    </cfRule>
    <cfRule type="expression" dxfId="1382" priority="302">
      <formula>$E406=18</formula>
    </cfRule>
    <cfRule type="expression" dxfId="1381" priority="303">
      <formula>$E406=17</formula>
    </cfRule>
    <cfRule type="expression" dxfId="1380" priority="304">
      <formula>$E406=16</formula>
    </cfRule>
    <cfRule type="expression" dxfId="1379" priority="305">
      <formula>$E406=15</formula>
    </cfRule>
    <cfRule type="expression" dxfId="1378" priority="306">
      <formula>$E406=14</formula>
    </cfRule>
    <cfRule type="expression" dxfId="1377" priority="307">
      <formula>$E406=13</formula>
    </cfRule>
    <cfRule type="expression" dxfId="1376" priority="308">
      <formula>$E406=12</formula>
    </cfRule>
  </conditionalFormatting>
  <conditionalFormatting sqref="K406">
    <cfRule type="expression" dxfId="1375" priority="292">
      <formula>$E406=10</formula>
    </cfRule>
    <cfRule type="expression" dxfId="1374" priority="293">
      <formula>$E406=11</formula>
    </cfRule>
    <cfRule type="expression" dxfId="1373" priority="294">
      <formula>$E406=18</formula>
    </cfRule>
    <cfRule type="expression" dxfId="1372" priority="295">
      <formula>$E406=17</formula>
    </cfRule>
    <cfRule type="expression" dxfId="1371" priority="296">
      <formula>$E406=16</formula>
    </cfRule>
    <cfRule type="expression" dxfId="1370" priority="297">
      <formula>$E406=15</formula>
    </cfRule>
    <cfRule type="expression" dxfId="1369" priority="298">
      <formula>$E406=14</formula>
    </cfRule>
    <cfRule type="expression" dxfId="1368" priority="299">
      <formula>$E406=13</formula>
    </cfRule>
    <cfRule type="expression" dxfId="1367" priority="300">
      <formula>$E406=12</formula>
    </cfRule>
  </conditionalFormatting>
  <conditionalFormatting sqref="A407:F407">
    <cfRule type="expression" dxfId="1366" priority="275">
      <formula>$E407&lt;12</formula>
    </cfRule>
    <cfRule type="expression" dxfId="1365" priority="276">
      <formula>$E407=18</formula>
    </cfRule>
    <cfRule type="expression" dxfId="1364" priority="277">
      <formula>$E407=17</formula>
    </cfRule>
    <cfRule type="expression" dxfId="1363" priority="278">
      <formula>$E407=16</formula>
    </cfRule>
    <cfRule type="expression" dxfId="1362" priority="279">
      <formula>$E407=15</formula>
    </cfRule>
    <cfRule type="expression" dxfId="1361" priority="280">
      <formula>$E407=14</formula>
    </cfRule>
    <cfRule type="expression" dxfId="1360" priority="281">
      <formula>$E407=13</formula>
    </cfRule>
    <cfRule type="expression" dxfId="1359" priority="282">
      <formula>$E407=12</formula>
    </cfRule>
  </conditionalFormatting>
  <conditionalFormatting sqref="A407:F407">
    <cfRule type="expression" dxfId="1358" priority="266">
      <formula>$E407=10</formula>
    </cfRule>
    <cfRule type="expression" dxfId="1357" priority="267">
      <formula>$E407=11</formula>
    </cfRule>
    <cfRule type="expression" dxfId="1356" priority="268">
      <formula>$E407=18</formula>
    </cfRule>
    <cfRule type="expression" dxfId="1355" priority="269">
      <formula>$E407=17</formula>
    </cfRule>
    <cfRule type="expression" dxfId="1354" priority="270">
      <formula>$E407=16</formula>
    </cfRule>
    <cfRule type="expression" dxfId="1353" priority="271">
      <formula>$E407=15</formula>
    </cfRule>
    <cfRule type="expression" dxfId="1352" priority="272">
      <formula>$E407=14</formula>
    </cfRule>
    <cfRule type="expression" dxfId="1351" priority="273">
      <formula>$E407=13</formula>
    </cfRule>
    <cfRule type="expression" dxfId="1350" priority="274">
      <formula>$E407=12</formula>
    </cfRule>
  </conditionalFormatting>
  <conditionalFormatting sqref="L407:M407">
    <cfRule type="expression" dxfId="1349" priority="258">
      <formula>$E407&lt;12</formula>
    </cfRule>
    <cfRule type="expression" dxfId="1348" priority="259">
      <formula>$E407=18</formula>
    </cfRule>
    <cfRule type="expression" dxfId="1347" priority="260">
      <formula>$E407=17</formula>
    </cfRule>
    <cfRule type="expression" dxfId="1346" priority="261">
      <formula>$E407=16</formula>
    </cfRule>
    <cfRule type="expression" dxfId="1345" priority="262">
      <formula>$E407=15</formula>
    </cfRule>
    <cfRule type="expression" dxfId="1344" priority="263">
      <formula>$E407=14</formula>
    </cfRule>
    <cfRule type="expression" dxfId="1343" priority="264">
      <formula>$E407=13</formula>
    </cfRule>
    <cfRule type="expression" dxfId="1342" priority="265">
      <formula>$E407=12</formula>
    </cfRule>
  </conditionalFormatting>
  <conditionalFormatting sqref="L407:M407">
    <cfRule type="expression" dxfId="1341" priority="249">
      <formula>$E407=10</formula>
    </cfRule>
    <cfRule type="expression" dxfId="1340" priority="250">
      <formula>$E407=11</formula>
    </cfRule>
    <cfRule type="expression" dxfId="1339" priority="251">
      <formula>$E407=18</formula>
    </cfRule>
    <cfRule type="expression" dxfId="1338" priority="252">
      <formula>$E407=17</formula>
    </cfRule>
    <cfRule type="expression" dxfId="1337" priority="253">
      <formula>$E407=16</formula>
    </cfRule>
    <cfRule type="expression" dxfId="1336" priority="254">
      <formula>$E407=15</formula>
    </cfRule>
    <cfRule type="expression" dxfId="1335" priority="255">
      <formula>$E407=14</formula>
    </cfRule>
    <cfRule type="expression" dxfId="1334" priority="256">
      <formula>$E407=13</formula>
    </cfRule>
    <cfRule type="expression" dxfId="1333" priority="257">
      <formula>$E407=12</formula>
    </cfRule>
  </conditionalFormatting>
  <conditionalFormatting sqref="K407">
    <cfRule type="expression" dxfId="1332" priority="223">
      <formula>$E407=10</formula>
    </cfRule>
    <cfRule type="expression" dxfId="1331" priority="224">
      <formula>$E407=11</formula>
    </cfRule>
    <cfRule type="expression" dxfId="1330" priority="225">
      <formula>$E407=18</formula>
    </cfRule>
    <cfRule type="expression" dxfId="1329" priority="226">
      <formula>$E407=17</formula>
    </cfRule>
    <cfRule type="expression" dxfId="1328" priority="227">
      <formula>$E407=16</formula>
    </cfRule>
    <cfRule type="expression" dxfId="1327" priority="228">
      <formula>$E407=15</formula>
    </cfRule>
    <cfRule type="expression" dxfId="1326" priority="229">
      <formula>$E407=14</formula>
    </cfRule>
    <cfRule type="expression" dxfId="1325" priority="230">
      <formula>$E407=13</formula>
    </cfRule>
    <cfRule type="expression" dxfId="1324" priority="231">
      <formula>$E407=12</formula>
    </cfRule>
  </conditionalFormatting>
  <conditionalFormatting sqref="K407">
    <cfRule type="expression" dxfId="1323" priority="241">
      <formula>$E407&lt;12</formula>
    </cfRule>
    <cfRule type="expression" dxfId="1322" priority="242">
      <formula>$E407=18</formula>
    </cfRule>
    <cfRule type="expression" dxfId="1321" priority="243">
      <formula>$E407=17</formula>
    </cfRule>
    <cfRule type="expression" dxfId="1320" priority="244">
      <formula>$E407=16</formula>
    </cfRule>
    <cfRule type="expression" dxfId="1319" priority="245">
      <formula>$E407=15</formula>
    </cfRule>
    <cfRule type="expression" dxfId="1318" priority="246">
      <formula>$E407=14</formula>
    </cfRule>
    <cfRule type="expression" dxfId="1317" priority="247">
      <formula>$E407=13</formula>
    </cfRule>
    <cfRule type="expression" dxfId="1316" priority="248">
      <formula>$E407=12</formula>
    </cfRule>
  </conditionalFormatting>
  <conditionalFormatting sqref="K407">
    <cfRule type="expression" dxfId="1315" priority="232">
      <formula>$E407=10</formula>
    </cfRule>
    <cfRule type="expression" dxfId="1314" priority="233">
      <formula>$E407=11</formula>
    </cfRule>
    <cfRule type="expression" dxfId="1313" priority="234">
      <formula>$E407=18</formula>
    </cfRule>
    <cfRule type="expression" dxfId="1312" priority="235">
      <formula>$E407=17</formula>
    </cfRule>
    <cfRule type="expression" dxfId="1311" priority="236">
      <formula>$E407=16</formula>
    </cfRule>
    <cfRule type="expression" dxfId="1310" priority="237">
      <formula>$E407=15</formula>
    </cfRule>
    <cfRule type="expression" dxfId="1309" priority="238">
      <formula>$E407=14</formula>
    </cfRule>
    <cfRule type="expression" dxfId="1308" priority="239">
      <formula>$E407=13</formula>
    </cfRule>
    <cfRule type="expression" dxfId="1307" priority="240">
      <formula>$E407=12</formula>
    </cfRule>
  </conditionalFormatting>
  <conditionalFormatting sqref="J407">
    <cfRule type="expression" dxfId="1306" priority="215">
      <formula>$E407&lt;12</formula>
    </cfRule>
    <cfRule type="expression" dxfId="1305" priority="216">
      <formula>$E407=18</formula>
    </cfRule>
    <cfRule type="expression" dxfId="1304" priority="217">
      <formula>$E407=17</formula>
    </cfRule>
    <cfRule type="expression" dxfId="1303" priority="218">
      <formula>$E407=16</formula>
    </cfRule>
    <cfRule type="expression" dxfId="1302" priority="219">
      <formula>$E407=15</formula>
    </cfRule>
    <cfRule type="expression" dxfId="1301" priority="220">
      <formula>$E407=14</formula>
    </cfRule>
    <cfRule type="expression" dxfId="1300" priority="221">
      <formula>$E407=13</formula>
    </cfRule>
    <cfRule type="expression" dxfId="1299" priority="222">
      <formula>$E407=12</formula>
    </cfRule>
  </conditionalFormatting>
  <conditionalFormatting sqref="J407">
    <cfRule type="expression" dxfId="1298" priority="206">
      <formula>$E407=10</formula>
    </cfRule>
    <cfRule type="expression" dxfId="1297" priority="207">
      <formula>$E407=11</formula>
    </cfRule>
    <cfRule type="expression" dxfId="1296" priority="208">
      <formula>$E407=18</formula>
    </cfRule>
    <cfRule type="expression" dxfId="1295" priority="209">
      <formula>$E407=17</formula>
    </cfRule>
    <cfRule type="expression" dxfId="1294" priority="210">
      <formula>$E407=16</formula>
    </cfRule>
    <cfRule type="expression" dxfId="1293" priority="211">
      <formula>$E407=15</formula>
    </cfRule>
    <cfRule type="expression" dxfId="1292" priority="212">
      <formula>$E407=14</formula>
    </cfRule>
    <cfRule type="expression" dxfId="1291" priority="213">
      <formula>$E407=13</formula>
    </cfRule>
    <cfRule type="expression" dxfId="1290" priority="214">
      <formula>$E407=12</formula>
    </cfRule>
  </conditionalFormatting>
  <conditionalFormatting sqref="A408:F408">
    <cfRule type="expression" dxfId="1289" priority="198">
      <formula>$E408&lt;12</formula>
    </cfRule>
    <cfRule type="expression" dxfId="1288" priority="199">
      <formula>$E408=18</formula>
    </cfRule>
    <cfRule type="expression" dxfId="1287" priority="200">
      <formula>$E408=17</formula>
    </cfRule>
    <cfRule type="expression" dxfId="1286" priority="201">
      <formula>$E408=16</formula>
    </cfRule>
    <cfRule type="expression" dxfId="1285" priority="202">
      <formula>$E408=15</formula>
    </cfRule>
    <cfRule type="expression" dxfId="1284" priority="203">
      <formula>$E408=14</formula>
    </cfRule>
    <cfRule type="expression" dxfId="1283" priority="204">
      <formula>$E408=13</formula>
    </cfRule>
    <cfRule type="expression" dxfId="1282" priority="205">
      <formula>$E408=12</formula>
    </cfRule>
  </conditionalFormatting>
  <conditionalFormatting sqref="A408:F408">
    <cfRule type="expression" dxfId="1281" priority="189">
      <formula>$E408=10</formula>
    </cfRule>
    <cfRule type="expression" dxfId="1280" priority="190">
      <formula>$E408=11</formula>
    </cfRule>
    <cfRule type="expression" dxfId="1279" priority="191">
      <formula>$E408=18</formula>
    </cfRule>
    <cfRule type="expression" dxfId="1278" priority="192">
      <formula>$E408=17</formula>
    </cfRule>
    <cfRule type="expression" dxfId="1277" priority="193">
      <formula>$E408=16</formula>
    </cfRule>
    <cfRule type="expression" dxfId="1276" priority="194">
      <formula>$E408=15</formula>
    </cfRule>
    <cfRule type="expression" dxfId="1275" priority="195">
      <formula>$E408=14</formula>
    </cfRule>
    <cfRule type="expression" dxfId="1274" priority="196">
      <formula>$E408=13</formula>
    </cfRule>
    <cfRule type="expression" dxfId="1273" priority="197">
      <formula>$E408=12</formula>
    </cfRule>
  </conditionalFormatting>
  <conditionalFormatting sqref="L408:M408">
    <cfRule type="expression" dxfId="1272" priority="181">
      <formula>$E408&lt;12</formula>
    </cfRule>
    <cfRule type="expression" dxfId="1271" priority="182">
      <formula>$E408=18</formula>
    </cfRule>
    <cfRule type="expression" dxfId="1270" priority="183">
      <formula>$E408=17</formula>
    </cfRule>
    <cfRule type="expression" dxfId="1269" priority="184">
      <formula>$E408=16</formula>
    </cfRule>
    <cfRule type="expression" dxfId="1268" priority="185">
      <formula>$E408=15</formula>
    </cfRule>
    <cfRule type="expression" dxfId="1267" priority="186">
      <formula>$E408=14</formula>
    </cfRule>
    <cfRule type="expression" dxfId="1266" priority="187">
      <formula>$E408=13</formula>
    </cfRule>
    <cfRule type="expression" dxfId="1265" priority="188">
      <formula>$E408=12</formula>
    </cfRule>
  </conditionalFormatting>
  <conditionalFormatting sqref="L408:M408">
    <cfRule type="expression" dxfId="1264" priority="172">
      <formula>$E408=10</formula>
    </cfRule>
    <cfRule type="expression" dxfId="1263" priority="173">
      <formula>$E408=11</formula>
    </cfRule>
    <cfRule type="expression" dxfId="1262" priority="174">
      <formula>$E408=18</formula>
    </cfRule>
    <cfRule type="expression" dxfId="1261" priority="175">
      <formula>$E408=17</formula>
    </cfRule>
    <cfRule type="expression" dxfId="1260" priority="176">
      <formula>$E408=16</formula>
    </cfRule>
    <cfRule type="expression" dxfId="1259" priority="177">
      <formula>$E408=15</formula>
    </cfRule>
    <cfRule type="expression" dxfId="1258" priority="178">
      <formula>$E408=14</formula>
    </cfRule>
    <cfRule type="expression" dxfId="1257" priority="179">
      <formula>$E408=13</formula>
    </cfRule>
    <cfRule type="expression" dxfId="1256" priority="180">
      <formula>$E408=12</formula>
    </cfRule>
  </conditionalFormatting>
  <conditionalFormatting sqref="K408">
    <cfRule type="expression" dxfId="1255" priority="146">
      <formula>$E408=10</formula>
    </cfRule>
    <cfRule type="expression" dxfId="1254" priority="147">
      <formula>$E408=11</formula>
    </cfRule>
    <cfRule type="expression" dxfId="1253" priority="148">
      <formula>$E408=18</formula>
    </cfRule>
    <cfRule type="expression" dxfId="1252" priority="149">
      <formula>$E408=17</formula>
    </cfRule>
    <cfRule type="expression" dxfId="1251" priority="150">
      <formula>$E408=16</formula>
    </cfRule>
    <cfRule type="expression" dxfId="1250" priority="151">
      <formula>$E408=15</formula>
    </cfRule>
    <cfRule type="expression" dxfId="1249" priority="152">
      <formula>$E408=14</formula>
    </cfRule>
    <cfRule type="expression" dxfId="1248" priority="153">
      <formula>$E408=13</formula>
    </cfRule>
    <cfRule type="expression" dxfId="1247" priority="154">
      <formula>$E408=12</formula>
    </cfRule>
  </conditionalFormatting>
  <conditionalFormatting sqref="K408">
    <cfRule type="expression" dxfId="1246" priority="164">
      <formula>$E408&lt;12</formula>
    </cfRule>
    <cfRule type="expression" dxfId="1245" priority="165">
      <formula>$E408=18</formula>
    </cfRule>
    <cfRule type="expression" dxfId="1244" priority="166">
      <formula>$E408=17</formula>
    </cfRule>
    <cfRule type="expression" dxfId="1243" priority="167">
      <formula>$E408=16</formula>
    </cfRule>
    <cfRule type="expression" dxfId="1242" priority="168">
      <formula>$E408=15</formula>
    </cfRule>
    <cfRule type="expression" dxfId="1241" priority="169">
      <formula>$E408=14</formula>
    </cfRule>
    <cfRule type="expression" dxfId="1240" priority="170">
      <formula>$E408=13</formula>
    </cfRule>
    <cfRule type="expression" dxfId="1239" priority="171">
      <formula>$E408=12</formula>
    </cfRule>
  </conditionalFormatting>
  <conditionalFormatting sqref="K408">
    <cfRule type="expression" dxfId="1238" priority="155">
      <formula>$E408=10</formula>
    </cfRule>
    <cfRule type="expression" dxfId="1237" priority="156">
      <formula>$E408=11</formula>
    </cfRule>
    <cfRule type="expression" dxfId="1236" priority="157">
      <formula>$E408=18</formula>
    </cfRule>
    <cfRule type="expression" dxfId="1235" priority="158">
      <formula>$E408=17</formula>
    </cfRule>
    <cfRule type="expression" dxfId="1234" priority="159">
      <formula>$E408=16</formula>
    </cfRule>
    <cfRule type="expression" dxfId="1233" priority="160">
      <formula>$E408=15</formula>
    </cfRule>
    <cfRule type="expression" dxfId="1232" priority="161">
      <formula>$E408=14</formula>
    </cfRule>
    <cfRule type="expression" dxfId="1231" priority="162">
      <formula>$E408=13</formula>
    </cfRule>
    <cfRule type="expression" dxfId="1230" priority="163">
      <formula>$E408=12</formula>
    </cfRule>
  </conditionalFormatting>
  <conditionalFormatting sqref="AJ411:XFD424 G411:J424 N411:AG424">
    <cfRule type="expression" dxfId="1229" priority="70">
      <formula>$E411&lt;12</formula>
    </cfRule>
    <cfRule type="expression" dxfId="1228" priority="71">
      <formula>$E411=18</formula>
    </cfRule>
    <cfRule type="expression" dxfId="1227" priority="72">
      <formula>$E411=17</formula>
    </cfRule>
    <cfRule type="expression" dxfId="1226" priority="73">
      <formula>$E411=16</formula>
    </cfRule>
    <cfRule type="expression" dxfId="1225" priority="74">
      <formula>$E411=15</formula>
    </cfRule>
    <cfRule type="expression" dxfId="1224" priority="75">
      <formula>$E411=14</formula>
    </cfRule>
    <cfRule type="expression" dxfId="1223" priority="76">
      <formula>$E411=13</formula>
    </cfRule>
    <cfRule type="expression" dxfId="1222" priority="77">
      <formula>$E411=12</formula>
    </cfRule>
  </conditionalFormatting>
  <conditionalFormatting sqref="AJ411:XFD424 G411:J424 N411:AG424">
    <cfRule type="expression" dxfId="1221" priority="61">
      <formula>$E411=10</formula>
    </cfRule>
    <cfRule type="expression" dxfId="1220" priority="62">
      <formula>$E411=11</formula>
    </cfRule>
    <cfRule type="expression" dxfId="1219" priority="63">
      <formula>$E411=18</formula>
    </cfRule>
    <cfRule type="expression" dxfId="1218" priority="64">
      <formula>$E411=17</formula>
    </cfRule>
    <cfRule type="expression" dxfId="1217" priority="65">
      <formula>$E411=16</formula>
    </cfRule>
    <cfRule type="expression" dxfId="1216" priority="66">
      <formula>$E411=15</formula>
    </cfRule>
    <cfRule type="expression" dxfId="1215" priority="67">
      <formula>$E411=14</formula>
    </cfRule>
    <cfRule type="expression" dxfId="1214" priority="68">
      <formula>$E411=13</formula>
    </cfRule>
    <cfRule type="expression" dxfId="1213" priority="69">
      <formula>$E411=12</formula>
    </cfRule>
  </conditionalFormatting>
  <conditionalFormatting sqref="A411:F424">
    <cfRule type="expression" dxfId="1212" priority="53">
      <formula>$E411&lt;12</formula>
    </cfRule>
    <cfRule type="expression" dxfId="1211" priority="54">
      <formula>$E411=18</formula>
    </cfRule>
    <cfRule type="expression" dxfId="1210" priority="55">
      <formula>$E411=17</formula>
    </cfRule>
    <cfRule type="expression" dxfId="1209" priority="56">
      <formula>$E411=16</formula>
    </cfRule>
    <cfRule type="expression" dxfId="1208" priority="57">
      <formula>$E411=15</formula>
    </cfRule>
    <cfRule type="expression" dxfId="1207" priority="58">
      <formula>$E411=14</formula>
    </cfRule>
    <cfRule type="expression" dxfId="1206" priority="59">
      <formula>$E411=13</formula>
    </cfRule>
    <cfRule type="expression" dxfId="1205" priority="60">
      <formula>$E411=12</formula>
    </cfRule>
  </conditionalFormatting>
  <conditionalFormatting sqref="A411:F424">
    <cfRule type="expression" dxfId="1204" priority="44">
      <formula>$E411=10</formula>
    </cfRule>
    <cfRule type="expression" dxfId="1203" priority="45">
      <formula>$E411=11</formula>
    </cfRule>
    <cfRule type="expression" dxfId="1202" priority="46">
      <formula>$E411=18</formula>
    </cfRule>
    <cfRule type="expression" dxfId="1201" priority="47">
      <formula>$E411=17</formula>
    </cfRule>
    <cfRule type="expression" dxfId="1200" priority="48">
      <formula>$E411=16</formula>
    </cfRule>
    <cfRule type="expression" dxfId="1199" priority="49">
      <formula>$E411=15</formula>
    </cfRule>
    <cfRule type="expression" dxfId="1198" priority="50">
      <formula>$E411=14</formula>
    </cfRule>
    <cfRule type="expression" dxfId="1197" priority="51">
      <formula>$E411=13</formula>
    </cfRule>
    <cfRule type="expression" dxfId="1196" priority="52">
      <formula>$E411=12</formula>
    </cfRule>
  </conditionalFormatting>
  <conditionalFormatting sqref="L411:M424">
    <cfRule type="expression" dxfId="1195" priority="36">
      <formula>$E411&lt;12</formula>
    </cfRule>
    <cfRule type="expression" dxfId="1194" priority="37">
      <formula>$E411=18</formula>
    </cfRule>
    <cfRule type="expression" dxfId="1193" priority="38">
      <formula>$E411=17</formula>
    </cfRule>
    <cfRule type="expression" dxfId="1192" priority="39">
      <formula>$E411=16</formula>
    </cfRule>
    <cfRule type="expression" dxfId="1191" priority="40">
      <formula>$E411=15</formula>
    </cfRule>
    <cfRule type="expression" dxfId="1190" priority="41">
      <formula>$E411=14</formula>
    </cfRule>
    <cfRule type="expression" dxfId="1189" priority="42">
      <formula>$E411=13</formula>
    </cfRule>
    <cfRule type="expression" dxfId="1188" priority="43">
      <formula>$E411=12</formula>
    </cfRule>
  </conditionalFormatting>
  <conditionalFormatting sqref="L411:M424">
    <cfRule type="expression" dxfId="1187" priority="27">
      <formula>$E411=10</formula>
    </cfRule>
    <cfRule type="expression" dxfId="1186" priority="28">
      <formula>$E411=11</formula>
    </cfRule>
    <cfRule type="expression" dxfId="1185" priority="29">
      <formula>$E411=18</formula>
    </cfRule>
    <cfRule type="expression" dxfId="1184" priority="30">
      <formula>$E411=17</formula>
    </cfRule>
    <cfRule type="expression" dxfId="1183" priority="31">
      <formula>$E411=16</formula>
    </cfRule>
    <cfRule type="expression" dxfId="1182" priority="32">
      <formula>$E411=15</formula>
    </cfRule>
    <cfRule type="expression" dxfId="1181" priority="33">
      <formula>$E411=14</formula>
    </cfRule>
    <cfRule type="expression" dxfId="1180" priority="34">
      <formula>$E411=13</formula>
    </cfRule>
    <cfRule type="expression" dxfId="1179" priority="35">
      <formula>$E411=12</formula>
    </cfRule>
  </conditionalFormatting>
  <conditionalFormatting sqref="K411:K424">
    <cfRule type="expression" dxfId="1178" priority="19">
      <formula>$E411&lt;12</formula>
    </cfRule>
    <cfRule type="expression" dxfId="1177" priority="20">
      <formula>$E411=18</formula>
    </cfRule>
    <cfRule type="expression" dxfId="1176" priority="21">
      <formula>$E411=17</formula>
    </cfRule>
    <cfRule type="expression" dxfId="1175" priority="22">
      <formula>$E411=16</formula>
    </cfRule>
    <cfRule type="expression" dxfId="1174" priority="23">
      <formula>$E411=15</formula>
    </cfRule>
    <cfRule type="expression" dxfId="1173" priority="24">
      <formula>$E411=14</formula>
    </cfRule>
    <cfRule type="expression" dxfId="1172" priority="25">
      <formula>$E411=13</formula>
    </cfRule>
    <cfRule type="expression" dxfId="1171" priority="26">
      <formula>$E411=12</formula>
    </cfRule>
  </conditionalFormatting>
  <conditionalFormatting sqref="K411:K424">
    <cfRule type="expression" dxfId="1170" priority="10">
      <formula>$E411=10</formula>
    </cfRule>
    <cfRule type="expression" dxfId="1169" priority="11">
      <formula>$E411=11</formula>
    </cfRule>
    <cfRule type="expression" dxfId="1168" priority="12">
      <formula>$E411=18</formula>
    </cfRule>
    <cfRule type="expression" dxfId="1167" priority="13">
      <formula>$E411=17</formula>
    </cfRule>
    <cfRule type="expression" dxfId="1166" priority="14">
      <formula>$E411=16</formula>
    </cfRule>
    <cfRule type="expression" dxfId="1165" priority="15">
      <formula>$E411=15</formula>
    </cfRule>
    <cfRule type="expression" dxfId="1164" priority="16">
      <formula>$E411=14</formula>
    </cfRule>
    <cfRule type="expression" dxfId="1163" priority="17">
      <formula>$E411=13</formula>
    </cfRule>
    <cfRule type="expression" dxfId="1162" priority="18">
      <formula>$E411=12</formula>
    </cfRule>
  </conditionalFormatting>
  <hyperlinks>
    <hyperlink ref="I353" r:id="rId1" display="https://aes1.advancedeventsystems.com/Event/Volleyball/EventTeamInfo.aspx?ZCruShzPjMGv6cuivzEZ3bdHnxan7utPe-38b2URl8mzU62jttSjG3kENzzLrFO5DJ2gC4tYCpITNOPe7kWQLp22OSbVlCGBuLUYcUJcvMs1mfXaIumiL4opmJlO0to20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4"/>
  <sheetViews>
    <sheetView tabSelected="1" workbookViewId="0">
      <selection activeCell="R415" sqref="R415"/>
    </sheetView>
  </sheetViews>
  <sheetFormatPr defaultColWidth="9.109375" defaultRowHeight="14.4" x14ac:dyDescent="0.3"/>
  <cols>
    <col min="1" max="1" width="5.44140625" style="85" customWidth="1"/>
    <col min="2" max="2" width="2" style="85" customWidth="1"/>
    <col min="3" max="3" width="3" style="85" customWidth="1"/>
    <col min="4" max="4" width="5.33203125" style="85" customWidth="1"/>
    <col min="5" max="5" width="4.44140625" style="85" customWidth="1"/>
    <col min="6" max="6" width="7.109375" style="85" customWidth="1"/>
    <col min="7" max="7" width="13.88671875" style="85" customWidth="1"/>
    <col min="8" max="8" width="36.88671875" style="85" customWidth="1"/>
    <col min="9" max="9" width="28.44140625" style="85" customWidth="1"/>
    <col min="10" max="10" width="5.6640625" style="85" customWidth="1"/>
    <col min="11" max="11" width="13.88671875" style="86" customWidth="1"/>
    <col min="12" max="12" width="5" style="85" customWidth="1"/>
    <col min="13" max="13" width="10" style="86" customWidth="1"/>
    <col min="14" max="27" width="7.5546875" style="85" customWidth="1"/>
    <col min="28" max="33" width="9.109375" style="85"/>
    <col min="34" max="35" width="12" customWidth="1"/>
    <col min="36" max="16384" width="9.109375" style="85"/>
  </cols>
  <sheetData>
    <row r="1" spans="1:27" ht="28.8" x14ac:dyDescent="0.3">
      <c r="A1" s="299" t="s">
        <v>135</v>
      </c>
      <c r="C1" s="85" t="s">
        <v>136</v>
      </c>
      <c r="D1" s="85" t="s">
        <v>137</v>
      </c>
      <c r="E1" s="85" t="s">
        <v>15</v>
      </c>
      <c r="F1" s="85" t="s">
        <v>471</v>
      </c>
      <c r="G1" s="85" t="s">
        <v>472</v>
      </c>
      <c r="H1" s="85" t="s">
        <v>138</v>
      </c>
      <c r="I1" s="85" t="s">
        <v>8</v>
      </c>
      <c r="J1" s="85" t="s">
        <v>139</v>
      </c>
      <c r="K1" s="86" t="s">
        <v>140</v>
      </c>
      <c r="M1" s="86" t="s">
        <v>96</v>
      </c>
      <c r="N1" s="300" t="s">
        <v>473</v>
      </c>
      <c r="O1" s="300" t="s">
        <v>474</v>
      </c>
      <c r="P1" s="300" t="s">
        <v>475</v>
      </c>
      <c r="Q1" s="300" t="s">
        <v>476</v>
      </c>
      <c r="R1" s="300" t="s">
        <v>477</v>
      </c>
      <c r="S1" s="300" t="s">
        <v>478</v>
      </c>
      <c r="T1" s="300" t="s">
        <v>479</v>
      </c>
      <c r="U1" s="300" t="s">
        <v>480</v>
      </c>
      <c r="V1" s="300" t="s">
        <v>481</v>
      </c>
      <c r="W1" s="300" t="s">
        <v>482</v>
      </c>
      <c r="X1" s="300" t="s">
        <v>483</v>
      </c>
      <c r="Y1" s="300" t="s">
        <v>484</v>
      </c>
      <c r="Z1" s="300" t="s">
        <v>485</v>
      </c>
      <c r="AA1" s="300" t="s">
        <v>486</v>
      </c>
    </row>
    <row r="2" spans="1:27" x14ac:dyDescent="0.3">
      <c r="A2" s="85">
        <v>2</v>
      </c>
      <c r="C2" s="85">
        <f t="shared" ref="C2:C65" si="0">IF(E2=E1,C1+1,1)</f>
        <v>1</v>
      </c>
      <c r="D2" s="85">
        <f t="shared" ref="D2:D65" si="1">IF(K2=K1,D1,C2)</f>
        <v>1</v>
      </c>
      <c r="E2" s="85">
        <f t="shared" ref="E2:E65" si="2">10+VALUE(RIGHT(LEFT(G2,3),1))</f>
        <v>11</v>
      </c>
      <c r="F2" s="85" t="str">
        <f t="shared" ref="F2:F65" si="3">RIGHT(G2,2) &amp; IF(A2&lt;2,"x","")</f>
        <v>pm</v>
      </c>
      <c r="G2" s="85" t="s">
        <v>141</v>
      </c>
      <c r="H2" s="85" t="s">
        <v>142</v>
      </c>
      <c r="I2" s="85" t="s">
        <v>143</v>
      </c>
      <c r="K2" s="86">
        <f t="shared" ref="K2:K65" si="4">LOOKUP(1E+100,M2:AB2)</f>
        <v>1545.059815930156</v>
      </c>
      <c r="M2" s="86">
        <v>1600</v>
      </c>
      <c r="P2" s="85">
        <v>1545.059815930156</v>
      </c>
    </row>
    <row r="3" spans="1:27" x14ac:dyDescent="0.3">
      <c r="A3" s="85">
        <v>2</v>
      </c>
      <c r="C3" s="85">
        <f t="shared" si="0"/>
        <v>2</v>
      </c>
      <c r="D3" s="85">
        <f t="shared" si="1"/>
        <v>2</v>
      </c>
      <c r="E3" s="85">
        <f t="shared" si="2"/>
        <v>11</v>
      </c>
      <c r="F3" s="85" t="str">
        <f t="shared" si="3"/>
        <v>pm</v>
      </c>
      <c r="G3" s="85" t="s">
        <v>487</v>
      </c>
      <c r="H3" s="85" t="s">
        <v>142</v>
      </c>
      <c r="I3" s="85" t="s">
        <v>488</v>
      </c>
      <c r="K3" s="86">
        <f t="shared" si="4"/>
        <v>1493.4578356862332</v>
      </c>
      <c r="M3" s="86">
        <v>1600</v>
      </c>
      <c r="P3" s="85">
        <v>1493.4578356862332</v>
      </c>
    </row>
    <row r="4" spans="1:27" x14ac:dyDescent="0.3">
      <c r="A4" s="85">
        <v>2</v>
      </c>
      <c r="C4" s="85">
        <f t="shared" si="0"/>
        <v>3</v>
      </c>
      <c r="D4" s="85">
        <f t="shared" si="1"/>
        <v>3</v>
      </c>
      <c r="E4" s="85">
        <f t="shared" si="2"/>
        <v>11</v>
      </c>
      <c r="F4" s="85" t="str">
        <f t="shared" si="3"/>
        <v>cr</v>
      </c>
      <c r="G4" s="85" t="s">
        <v>489</v>
      </c>
      <c r="H4" s="85" t="s">
        <v>490</v>
      </c>
      <c r="I4" s="85" t="s">
        <v>491</v>
      </c>
      <c r="K4" s="86">
        <f t="shared" si="4"/>
        <v>1232.4941294996088</v>
      </c>
      <c r="M4" s="86">
        <v>1300</v>
      </c>
      <c r="R4" s="85">
        <v>1232.4941294996088</v>
      </c>
    </row>
    <row r="5" spans="1:27" x14ac:dyDescent="0.3">
      <c r="A5" s="85">
        <v>2</v>
      </c>
      <c r="C5" s="85">
        <f t="shared" si="0"/>
        <v>4</v>
      </c>
      <c r="D5" s="85">
        <f t="shared" si="1"/>
        <v>4</v>
      </c>
      <c r="E5" s="85">
        <f t="shared" si="2"/>
        <v>11</v>
      </c>
      <c r="F5" s="85" t="str">
        <f t="shared" si="3"/>
        <v>pm</v>
      </c>
      <c r="G5" s="85" t="s">
        <v>492</v>
      </c>
      <c r="H5" s="85" t="s">
        <v>206</v>
      </c>
      <c r="I5" s="85" t="s">
        <v>493</v>
      </c>
      <c r="K5" s="86">
        <f t="shared" si="4"/>
        <v>1200</v>
      </c>
      <c r="M5" s="86">
        <v>1200</v>
      </c>
    </row>
    <row r="6" spans="1:27" x14ac:dyDescent="0.3">
      <c r="A6" s="85">
        <v>3</v>
      </c>
      <c r="C6" s="85">
        <f t="shared" si="0"/>
        <v>5</v>
      </c>
      <c r="D6" s="85">
        <f t="shared" si="1"/>
        <v>5</v>
      </c>
      <c r="E6" s="85">
        <f t="shared" si="2"/>
        <v>11</v>
      </c>
      <c r="F6" s="85" t="str">
        <f t="shared" si="3"/>
        <v>cr</v>
      </c>
      <c r="G6" s="85" t="s">
        <v>494</v>
      </c>
      <c r="H6" s="85" t="s">
        <v>495</v>
      </c>
      <c r="I6" s="85" t="s">
        <v>459</v>
      </c>
      <c r="K6" s="86">
        <f t="shared" si="4"/>
        <v>1228.0201576130883</v>
      </c>
      <c r="M6" s="86">
        <v>1200</v>
      </c>
      <c r="R6" s="85">
        <v>1228.0201576130883</v>
      </c>
    </row>
    <row r="7" spans="1:27" x14ac:dyDescent="0.3">
      <c r="A7" s="85">
        <v>1</v>
      </c>
      <c r="C7" s="85">
        <f t="shared" si="0"/>
        <v>1</v>
      </c>
      <c r="D7" s="85">
        <f t="shared" si="1"/>
        <v>1</v>
      </c>
      <c r="E7" s="85">
        <f t="shared" si="2"/>
        <v>12</v>
      </c>
      <c r="F7" s="85" t="str">
        <f t="shared" si="3"/>
        <v>pmx</v>
      </c>
      <c r="G7" s="85" t="s">
        <v>146</v>
      </c>
      <c r="H7" s="85" t="s">
        <v>147</v>
      </c>
      <c r="I7" s="85" t="s">
        <v>148</v>
      </c>
      <c r="K7" s="86">
        <f t="shared" si="4"/>
        <v>1616.4772022793688</v>
      </c>
      <c r="M7" s="86">
        <v>1600</v>
      </c>
      <c r="P7" s="85">
        <v>1616.4772022793688</v>
      </c>
    </row>
    <row r="8" spans="1:27" x14ac:dyDescent="0.3">
      <c r="A8" s="85">
        <v>1</v>
      </c>
      <c r="C8" s="85">
        <f t="shared" si="0"/>
        <v>2</v>
      </c>
      <c r="D8" s="85">
        <f t="shared" si="1"/>
        <v>2</v>
      </c>
      <c r="E8" s="85">
        <f t="shared" si="2"/>
        <v>12</v>
      </c>
      <c r="F8" s="85" t="str">
        <f t="shared" si="3"/>
        <v>pmx</v>
      </c>
      <c r="G8" s="85" t="s">
        <v>43</v>
      </c>
      <c r="H8" s="85" t="s">
        <v>206</v>
      </c>
      <c r="I8" s="85" t="s">
        <v>496</v>
      </c>
      <c r="K8" s="86">
        <f t="shared" si="4"/>
        <v>1686.8133258533544</v>
      </c>
      <c r="M8" s="86">
        <v>1600</v>
      </c>
      <c r="P8" s="85">
        <v>1686.8133258533544</v>
      </c>
    </row>
    <row r="9" spans="1:27" x14ac:dyDescent="0.3">
      <c r="A9" s="85">
        <v>1</v>
      </c>
      <c r="C9" s="85">
        <f t="shared" si="0"/>
        <v>3</v>
      </c>
      <c r="D9" s="85">
        <f t="shared" si="1"/>
        <v>3</v>
      </c>
      <c r="E9" s="85">
        <f t="shared" si="2"/>
        <v>12</v>
      </c>
      <c r="F9" s="85" t="str">
        <f t="shared" si="3"/>
        <v>pmx</v>
      </c>
      <c r="G9" s="85" t="s">
        <v>154</v>
      </c>
      <c r="H9" s="85" t="s">
        <v>142</v>
      </c>
      <c r="I9" s="85" t="s">
        <v>155</v>
      </c>
      <c r="K9" s="86">
        <f t="shared" si="4"/>
        <v>1623.5670820023893</v>
      </c>
      <c r="M9" s="86">
        <v>1600</v>
      </c>
      <c r="P9" s="85">
        <v>1623.5670820023893</v>
      </c>
    </row>
    <row r="10" spans="1:27" x14ac:dyDescent="0.3">
      <c r="A10" s="85">
        <v>1</v>
      </c>
      <c r="C10" s="85">
        <f t="shared" si="0"/>
        <v>4</v>
      </c>
      <c r="D10" s="85">
        <f t="shared" si="1"/>
        <v>4</v>
      </c>
      <c r="E10" s="85">
        <f t="shared" si="2"/>
        <v>12</v>
      </c>
      <c r="F10" s="85" t="str">
        <f t="shared" si="3"/>
        <v>pmx</v>
      </c>
      <c r="G10" s="85" t="s">
        <v>156</v>
      </c>
      <c r="H10" s="85" t="s">
        <v>142</v>
      </c>
      <c r="I10" s="85" t="s">
        <v>157</v>
      </c>
      <c r="K10" s="86">
        <f t="shared" si="4"/>
        <v>1566.0787998096826</v>
      </c>
      <c r="M10" s="86">
        <v>1600</v>
      </c>
      <c r="P10" s="85">
        <v>1566.0787998096826</v>
      </c>
    </row>
    <row r="11" spans="1:27" x14ac:dyDescent="0.3">
      <c r="A11" s="85">
        <v>2</v>
      </c>
      <c r="C11" s="85">
        <f t="shared" si="0"/>
        <v>5</v>
      </c>
      <c r="D11" s="85">
        <f t="shared" si="1"/>
        <v>5</v>
      </c>
      <c r="E11" s="85">
        <f t="shared" si="2"/>
        <v>12</v>
      </c>
      <c r="F11" s="85" t="str">
        <f t="shared" si="3"/>
        <v>pm</v>
      </c>
      <c r="G11" s="85" t="s">
        <v>164</v>
      </c>
      <c r="H11" s="85" t="s">
        <v>497</v>
      </c>
      <c r="I11" s="85" t="s">
        <v>498</v>
      </c>
      <c r="K11" s="86">
        <f t="shared" si="4"/>
        <v>1672.0912540760935</v>
      </c>
      <c r="M11" s="86">
        <v>1600</v>
      </c>
      <c r="P11" s="85">
        <v>1672.0912540760935</v>
      </c>
    </row>
    <row r="12" spans="1:27" x14ac:dyDescent="0.3">
      <c r="A12" s="85">
        <v>2</v>
      </c>
      <c r="C12" s="85">
        <f t="shared" si="0"/>
        <v>6</v>
      </c>
      <c r="D12" s="85">
        <f t="shared" si="1"/>
        <v>6</v>
      </c>
      <c r="E12" s="85">
        <f t="shared" si="2"/>
        <v>12</v>
      </c>
      <c r="F12" s="85" t="str">
        <f t="shared" si="3"/>
        <v>pm</v>
      </c>
      <c r="G12" s="85" t="s">
        <v>499</v>
      </c>
      <c r="H12" s="85" t="s">
        <v>500</v>
      </c>
      <c r="I12" s="85" t="s">
        <v>501</v>
      </c>
      <c r="K12" s="86">
        <f t="shared" si="4"/>
        <v>1600</v>
      </c>
      <c r="M12" s="86">
        <v>1600</v>
      </c>
    </row>
    <row r="13" spans="1:27" x14ac:dyDescent="0.3">
      <c r="A13" s="85">
        <v>1</v>
      </c>
      <c r="C13" s="85">
        <f t="shared" si="0"/>
        <v>7</v>
      </c>
      <c r="D13" s="85">
        <f t="shared" si="1"/>
        <v>6</v>
      </c>
      <c r="E13" s="85">
        <f t="shared" si="2"/>
        <v>12</v>
      </c>
      <c r="F13" s="85" t="str">
        <f t="shared" si="3"/>
        <v>pmx</v>
      </c>
      <c r="G13" s="85" t="s">
        <v>165</v>
      </c>
      <c r="H13" s="85" t="s">
        <v>502</v>
      </c>
      <c r="I13" s="85" t="s">
        <v>503</v>
      </c>
      <c r="K13" s="86">
        <f t="shared" si="4"/>
        <v>1600</v>
      </c>
      <c r="M13" s="86">
        <v>1600</v>
      </c>
    </row>
    <row r="14" spans="1:27" x14ac:dyDescent="0.3">
      <c r="A14" s="85">
        <v>5</v>
      </c>
      <c r="C14" s="85">
        <f t="shared" si="0"/>
        <v>8</v>
      </c>
      <c r="D14" s="85">
        <f t="shared" si="1"/>
        <v>8</v>
      </c>
      <c r="E14" s="85">
        <f t="shared" si="2"/>
        <v>12</v>
      </c>
      <c r="F14" s="85" t="str">
        <f t="shared" si="3"/>
        <v>pm</v>
      </c>
      <c r="G14" s="85" t="s">
        <v>504</v>
      </c>
      <c r="H14" s="85" t="s">
        <v>186</v>
      </c>
      <c r="I14" s="85" t="s">
        <v>505</v>
      </c>
      <c r="K14" s="86">
        <f t="shared" si="4"/>
        <v>1549.4001349386292</v>
      </c>
      <c r="M14" s="86">
        <v>1600</v>
      </c>
      <c r="O14" s="85">
        <v>1579.4211609843667</v>
      </c>
      <c r="Q14" s="85">
        <v>1549.4001349386292</v>
      </c>
    </row>
    <row r="15" spans="1:27" x14ac:dyDescent="0.3">
      <c r="A15" s="85">
        <v>2</v>
      </c>
      <c r="C15" s="85">
        <f t="shared" si="0"/>
        <v>9</v>
      </c>
      <c r="D15" s="85">
        <f t="shared" si="1"/>
        <v>9</v>
      </c>
      <c r="E15" s="85">
        <f t="shared" si="2"/>
        <v>12</v>
      </c>
      <c r="F15" s="85" t="str">
        <f t="shared" si="3"/>
        <v>pm</v>
      </c>
      <c r="G15" s="85" t="s">
        <v>158</v>
      </c>
      <c r="H15" s="85" t="s">
        <v>159</v>
      </c>
      <c r="I15" s="85" t="s">
        <v>160</v>
      </c>
      <c r="K15" s="86">
        <f t="shared" si="4"/>
        <v>1701.529408586621</v>
      </c>
      <c r="M15" s="86">
        <v>1600</v>
      </c>
      <c r="O15" s="85">
        <v>1701.529408586621</v>
      </c>
    </row>
    <row r="16" spans="1:27" x14ac:dyDescent="0.3">
      <c r="A16" s="85">
        <v>5</v>
      </c>
      <c r="C16" s="85">
        <f t="shared" si="0"/>
        <v>10</v>
      </c>
      <c r="D16" s="85">
        <f t="shared" si="1"/>
        <v>10</v>
      </c>
      <c r="E16" s="85">
        <f t="shared" si="2"/>
        <v>12</v>
      </c>
      <c r="F16" s="85" t="str">
        <f t="shared" si="3"/>
        <v>pm</v>
      </c>
      <c r="G16" s="85" t="s">
        <v>161</v>
      </c>
      <c r="H16" s="85" t="s">
        <v>497</v>
      </c>
      <c r="I16" s="85" t="s">
        <v>506</v>
      </c>
      <c r="K16" s="86">
        <f t="shared" si="4"/>
        <v>1683.3638657498252</v>
      </c>
      <c r="M16" s="86">
        <v>1520</v>
      </c>
      <c r="P16" s="85">
        <v>1620.0506756248978</v>
      </c>
      <c r="Q16" s="85">
        <v>1633.2494164120533</v>
      </c>
      <c r="R16" s="85">
        <v>1683.3638657498252</v>
      </c>
    </row>
    <row r="17" spans="1:18" x14ac:dyDescent="0.3">
      <c r="A17" s="85">
        <v>5</v>
      </c>
      <c r="C17" s="85">
        <f t="shared" si="0"/>
        <v>11</v>
      </c>
      <c r="D17" s="85">
        <f t="shared" si="1"/>
        <v>11</v>
      </c>
      <c r="E17" s="85">
        <f t="shared" si="2"/>
        <v>12</v>
      </c>
      <c r="F17" s="85" t="str">
        <f t="shared" si="3"/>
        <v>pm</v>
      </c>
      <c r="G17" s="85" t="s">
        <v>507</v>
      </c>
      <c r="H17" s="85" t="s">
        <v>497</v>
      </c>
      <c r="I17" s="85" t="s">
        <v>508</v>
      </c>
      <c r="K17" s="86">
        <f t="shared" si="4"/>
        <v>1481.2291901450285</v>
      </c>
      <c r="M17" s="86">
        <v>1520</v>
      </c>
      <c r="P17" s="85">
        <v>1493.8800484266853</v>
      </c>
      <c r="Q17" s="85">
        <v>1481.3819060424257</v>
      </c>
      <c r="R17" s="85">
        <v>1481.2291901450285</v>
      </c>
    </row>
    <row r="18" spans="1:18" x14ac:dyDescent="0.3">
      <c r="A18" s="85">
        <v>3</v>
      </c>
      <c r="C18" s="85">
        <f t="shared" si="0"/>
        <v>12</v>
      </c>
      <c r="D18" s="85">
        <f t="shared" si="1"/>
        <v>12</v>
      </c>
      <c r="E18" s="85">
        <f t="shared" si="2"/>
        <v>12</v>
      </c>
      <c r="F18" s="85" t="str">
        <f t="shared" si="3"/>
        <v>pm</v>
      </c>
      <c r="G18" s="85" t="s">
        <v>509</v>
      </c>
      <c r="H18" s="85" t="s">
        <v>497</v>
      </c>
      <c r="I18" s="85" t="s">
        <v>447</v>
      </c>
      <c r="K18" s="86">
        <f t="shared" si="4"/>
        <v>1376.8957801204724</v>
      </c>
      <c r="M18" s="86">
        <v>1466.6666666666667</v>
      </c>
      <c r="P18" s="85">
        <v>1389.1906269778058</v>
      </c>
      <c r="R18" s="85">
        <v>1376.8957801204724</v>
      </c>
    </row>
    <row r="19" spans="1:18" x14ac:dyDescent="0.3">
      <c r="A19" s="85">
        <v>6</v>
      </c>
      <c r="C19" s="85">
        <f t="shared" si="0"/>
        <v>13</v>
      </c>
      <c r="D19" s="85">
        <f t="shared" si="1"/>
        <v>13</v>
      </c>
      <c r="E19" s="85">
        <f t="shared" si="2"/>
        <v>12</v>
      </c>
      <c r="F19" s="85" t="str">
        <f t="shared" si="3"/>
        <v>pm</v>
      </c>
      <c r="G19" s="85" t="s">
        <v>192</v>
      </c>
      <c r="H19" s="85" t="s">
        <v>186</v>
      </c>
      <c r="I19" s="85" t="s">
        <v>510</v>
      </c>
      <c r="K19" s="86">
        <f t="shared" si="4"/>
        <v>1252.9179429346361</v>
      </c>
      <c r="M19" s="86">
        <v>1433.3333333333333</v>
      </c>
      <c r="P19" s="85">
        <v>1329.272415012241</v>
      </c>
      <c r="R19" s="85">
        <v>1252.9179429346361</v>
      </c>
    </row>
    <row r="20" spans="1:18" x14ac:dyDescent="0.3">
      <c r="A20" s="85">
        <v>1</v>
      </c>
      <c r="C20" s="85">
        <f t="shared" si="0"/>
        <v>14</v>
      </c>
      <c r="D20" s="85">
        <f t="shared" si="1"/>
        <v>14</v>
      </c>
      <c r="E20" s="85">
        <f t="shared" si="2"/>
        <v>12</v>
      </c>
      <c r="F20" s="85" t="str">
        <f t="shared" si="3"/>
        <v>pmx</v>
      </c>
      <c r="G20" s="85" t="s">
        <v>511</v>
      </c>
      <c r="H20" s="85" t="s">
        <v>512</v>
      </c>
      <c r="I20" s="85" t="s">
        <v>513</v>
      </c>
      <c r="K20" s="86">
        <f t="shared" si="4"/>
        <v>1400</v>
      </c>
      <c r="M20" s="86">
        <v>1400</v>
      </c>
    </row>
    <row r="21" spans="1:18" x14ac:dyDescent="0.3">
      <c r="A21" s="85">
        <v>2</v>
      </c>
      <c r="C21" s="85">
        <f t="shared" si="0"/>
        <v>15</v>
      </c>
      <c r="D21" s="85">
        <f t="shared" si="1"/>
        <v>14</v>
      </c>
      <c r="E21" s="85">
        <f t="shared" si="2"/>
        <v>12</v>
      </c>
      <c r="F21" s="85" t="str">
        <f t="shared" si="3"/>
        <v>pm</v>
      </c>
      <c r="G21" s="85" t="s">
        <v>514</v>
      </c>
      <c r="H21" s="85" t="s">
        <v>515</v>
      </c>
      <c r="I21" s="85" t="s">
        <v>516</v>
      </c>
      <c r="K21" s="86">
        <f t="shared" si="4"/>
        <v>1400</v>
      </c>
      <c r="M21" s="86">
        <v>1400</v>
      </c>
    </row>
    <row r="22" spans="1:18" x14ac:dyDescent="0.3">
      <c r="A22" s="85">
        <v>3</v>
      </c>
      <c r="C22" s="85">
        <f t="shared" si="0"/>
        <v>16</v>
      </c>
      <c r="D22" s="85">
        <f t="shared" si="1"/>
        <v>16</v>
      </c>
      <c r="E22" s="85">
        <f t="shared" si="2"/>
        <v>12</v>
      </c>
      <c r="F22" s="85" t="str">
        <f t="shared" si="3"/>
        <v>pm</v>
      </c>
      <c r="G22" s="85" t="s">
        <v>169</v>
      </c>
      <c r="H22" s="85" t="s">
        <v>144</v>
      </c>
      <c r="I22" s="85" t="s">
        <v>170</v>
      </c>
      <c r="K22" s="86">
        <f t="shared" si="4"/>
        <v>1531.3017091550601</v>
      </c>
      <c r="M22" s="86">
        <v>1400</v>
      </c>
      <c r="N22" s="85">
        <v>1476.3698763802292</v>
      </c>
      <c r="P22" s="85">
        <v>1531.3017091550601</v>
      </c>
    </row>
    <row r="23" spans="1:18" x14ac:dyDescent="0.3">
      <c r="A23" s="85">
        <v>3</v>
      </c>
      <c r="C23" s="85">
        <f t="shared" si="0"/>
        <v>17</v>
      </c>
      <c r="D23" s="85">
        <f t="shared" si="1"/>
        <v>17</v>
      </c>
      <c r="E23" s="85">
        <f t="shared" si="2"/>
        <v>12</v>
      </c>
      <c r="F23" s="85" t="str">
        <f t="shared" si="3"/>
        <v>pm</v>
      </c>
      <c r="G23" s="85" t="s">
        <v>171</v>
      </c>
      <c r="H23" s="85" t="s">
        <v>144</v>
      </c>
      <c r="I23" s="85" t="s">
        <v>517</v>
      </c>
      <c r="K23" s="86">
        <f t="shared" si="4"/>
        <v>1537.3802077651519</v>
      </c>
      <c r="M23" s="86">
        <v>1400</v>
      </c>
      <c r="N23" s="85">
        <v>1447.5815954545844</v>
      </c>
      <c r="P23" s="85">
        <v>1537.3802077651519</v>
      </c>
    </row>
    <row r="24" spans="1:18" x14ac:dyDescent="0.3">
      <c r="A24" s="85">
        <v>3</v>
      </c>
      <c r="C24" s="85">
        <f t="shared" si="0"/>
        <v>18</v>
      </c>
      <c r="D24" s="85">
        <f t="shared" si="1"/>
        <v>18</v>
      </c>
      <c r="E24" s="85">
        <f t="shared" si="2"/>
        <v>12</v>
      </c>
      <c r="F24" s="85" t="str">
        <f t="shared" si="3"/>
        <v>pm</v>
      </c>
      <c r="G24" s="85" t="s">
        <v>173</v>
      </c>
      <c r="H24" s="85" t="s">
        <v>144</v>
      </c>
      <c r="I24" s="85" t="s">
        <v>172</v>
      </c>
      <c r="K24" s="86">
        <f t="shared" si="4"/>
        <v>1357.2341324310933</v>
      </c>
      <c r="M24" s="86">
        <v>1400</v>
      </c>
      <c r="P24" s="85">
        <v>1357.2341324310933</v>
      </c>
    </row>
    <row r="25" spans="1:18" x14ac:dyDescent="0.3">
      <c r="A25" s="85">
        <v>2</v>
      </c>
      <c r="C25" s="85">
        <f t="shared" si="0"/>
        <v>19</v>
      </c>
      <c r="D25" s="85">
        <f t="shared" si="1"/>
        <v>19</v>
      </c>
      <c r="E25" s="85">
        <f t="shared" si="2"/>
        <v>12</v>
      </c>
      <c r="F25" s="85" t="str">
        <f t="shared" si="3"/>
        <v>pm</v>
      </c>
      <c r="G25" s="85" t="s">
        <v>518</v>
      </c>
      <c r="H25" s="85" t="s">
        <v>519</v>
      </c>
      <c r="I25" s="85" t="s">
        <v>520</v>
      </c>
      <c r="K25" s="86">
        <f t="shared" si="4"/>
        <v>1459.5641847293109</v>
      </c>
      <c r="M25" s="86">
        <v>1400</v>
      </c>
      <c r="N25" s="85">
        <v>1350.0578538073637</v>
      </c>
      <c r="R25" s="85">
        <v>1459.5641847293109</v>
      </c>
    </row>
    <row r="26" spans="1:18" x14ac:dyDescent="0.3">
      <c r="A26" s="85">
        <v>4</v>
      </c>
      <c r="C26" s="85">
        <f t="shared" si="0"/>
        <v>20</v>
      </c>
      <c r="D26" s="85">
        <f t="shared" si="1"/>
        <v>20</v>
      </c>
      <c r="E26" s="85">
        <f t="shared" si="2"/>
        <v>12</v>
      </c>
      <c r="F26" s="85" t="str">
        <f t="shared" si="3"/>
        <v>pm</v>
      </c>
      <c r="G26" s="85" t="s">
        <v>521</v>
      </c>
      <c r="H26" s="85" t="s">
        <v>522</v>
      </c>
      <c r="I26" s="85" t="s">
        <v>134</v>
      </c>
      <c r="K26" s="86">
        <f t="shared" si="4"/>
        <v>1375.3096493025091</v>
      </c>
      <c r="M26" s="86">
        <v>1400</v>
      </c>
      <c r="P26" s="85">
        <v>1428.1010048509108</v>
      </c>
      <c r="R26" s="85">
        <v>1375.3096493025091</v>
      </c>
    </row>
    <row r="27" spans="1:18" x14ac:dyDescent="0.3">
      <c r="A27" s="85">
        <v>5</v>
      </c>
      <c r="C27" s="85">
        <f t="shared" si="0"/>
        <v>21</v>
      </c>
      <c r="D27" s="85">
        <f t="shared" si="1"/>
        <v>21</v>
      </c>
      <c r="E27" s="85">
        <f t="shared" si="2"/>
        <v>12</v>
      </c>
      <c r="F27" s="85" t="str">
        <f t="shared" si="3"/>
        <v>pm</v>
      </c>
      <c r="G27" s="85" t="s">
        <v>174</v>
      </c>
      <c r="H27" s="85" t="s">
        <v>175</v>
      </c>
      <c r="I27" s="85" t="s">
        <v>523</v>
      </c>
      <c r="K27" s="86">
        <f t="shared" si="4"/>
        <v>1472.1508938896179</v>
      </c>
      <c r="M27" s="86">
        <v>1400</v>
      </c>
      <c r="N27" s="85">
        <v>1462.0140696522083</v>
      </c>
      <c r="P27" s="85">
        <v>1472.1508938896179</v>
      </c>
    </row>
    <row r="28" spans="1:18" x14ac:dyDescent="0.3">
      <c r="A28" s="85">
        <v>4</v>
      </c>
      <c r="C28" s="85">
        <f t="shared" si="0"/>
        <v>22</v>
      </c>
      <c r="D28" s="85">
        <f t="shared" si="1"/>
        <v>22</v>
      </c>
      <c r="E28" s="85">
        <f t="shared" si="2"/>
        <v>12</v>
      </c>
      <c r="F28" s="85" t="str">
        <f t="shared" si="3"/>
        <v>pm</v>
      </c>
      <c r="G28" s="85" t="s">
        <v>524</v>
      </c>
      <c r="H28" s="85" t="s">
        <v>175</v>
      </c>
      <c r="I28" s="85" t="s">
        <v>525</v>
      </c>
      <c r="K28" s="86">
        <f t="shared" si="4"/>
        <v>1387.5441557026004</v>
      </c>
      <c r="M28" s="86">
        <v>1400</v>
      </c>
      <c r="P28" s="85">
        <v>1387.5441557026004</v>
      </c>
    </row>
    <row r="29" spans="1:18" x14ac:dyDescent="0.3">
      <c r="A29" s="85">
        <v>6</v>
      </c>
      <c r="C29" s="85">
        <f t="shared" si="0"/>
        <v>23</v>
      </c>
      <c r="D29" s="85">
        <f t="shared" si="1"/>
        <v>23</v>
      </c>
      <c r="E29" s="85">
        <f t="shared" si="2"/>
        <v>12</v>
      </c>
      <c r="F29" s="85" t="str">
        <f t="shared" si="3"/>
        <v>pm</v>
      </c>
      <c r="G29" s="85" t="s">
        <v>176</v>
      </c>
      <c r="H29" s="85" t="s">
        <v>177</v>
      </c>
      <c r="I29" s="85" t="s">
        <v>178</v>
      </c>
      <c r="K29" s="86">
        <f t="shared" si="4"/>
        <v>1359.0770551054006</v>
      </c>
      <c r="M29" s="86">
        <v>1400</v>
      </c>
      <c r="P29" s="85">
        <v>1397.3483492662522</v>
      </c>
      <c r="R29" s="85">
        <v>1359.0770551054006</v>
      </c>
    </row>
    <row r="30" spans="1:18" x14ac:dyDescent="0.3">
      <c r="A30" s="85">
        <v>6</v>
      </c>
      <c r="C30" s="85">
        <f t="shared" si="0"/>
        <v>24</v>
      </c>
      <c r="D30" s="85">
        <f t="shared" si="1"/>
        <v>24</v>
      </c>
      <c r="E30" s="85">
        <f t="shared" si="2"/>
        <v>12</v>
      </c>
      <c r="F30" s="85" t="str">
        <f t="shared" si="3"/>
        <v>pm</v>
      </c>
      <c r="G30" s="85" t="s">
        <v>179</v>
      </c>
      <c r="H30" s="85" t="s">
        <v>526</v>
      </c>
      <c r="I30" s="85" t="s">
        <v>180</v>
      </c>
      <c r="K30" s="86">
        <f t="shared" si="4"/>
        <v>1404.990457888367</v>
      </c>
      <c r="M30" s="86">
        <v>1400</v>
      </c>
      <c r="P30" s="85">
        <v>1387.8230506446589</v>
      </c>
      <c r="R30" s="85">
        <v>1404.990457888367</v>
      </c>
    </row>
    <row r="31" spans="1:18" x14ac:dyDescent="0.3">
      <c r="A31" s="85">
        <v>5</v>
      </c>
      <c r="C31" s="85">
        <f t="shared" si="0"/>
        <v>25</v>
      </c>
      <c r="D31" s="85">
        <f t="shared" si="1"/>
        <v>25</v>
      </c>
      <c r="E31" s="85">
        <f t="shared" si="2"/>
        <v>12</v>
      </c>
      <c r="F31" s="85" t="str">
        <f t="shared" si="3"/>
        <v>pm</v>
      </c>
      <c r="G31" s="85" t="s">
        <v>181</v>
      </c>
      <c r="H31" s="85" t="s">
        <v>182</v>
      </c>
      <c r="I31" s="85" t="s">
        <v>527</v>
      </c>
      <c r="K31" s="86">
        <f t="shared" si="4"/>
        <v>1483.6607809901664</v>
      </c>
      <c r="M31" s="86">
        <v>1400</v>
      </c>
      <c r="N31" s="85">
        <v>1392.0553046168466</v>
      </c>
      <c r="P31" s="85">
        <v>1483.6607809901664</v>
      </c>
    </row>
    <row r="32" spans="1:18" x14ac:dyDescent="0.3">
      <c r="A32" s="85">
        <v>1</v>
      </c>
      <c r="C32" s="85">
        <f t="shared" si="0"/>
        <v>26</v>
      </c>
      <c r="D32" s="85">
        <f t="shared" si="1"/>
        <v>26</v>
      </c>
      <c r="E32" s="85">
        <f t="shared" si="2"/>
        <v>12</v>
      </c>
      <c r="F32" s="85" t="str">
        <f t="shared" si="3"/>
        <v>pmx</v>
      </c>
      <c r="G32" s="85" t="s">
        <v>528</v>
      </c>
      <c r="H32" s="85" t="s">
        <v>184</v>
      </c>
      <c r="I32" s="85" t="s">
        <v>529</v>
      </c>
      <c r="K32" s="86">
        <f t="shared" si="4"/>
        <v>1419.6445762924195</v>
      </c>
      <c r="M32" s="86">
        <v>1400</v>
      </c>
      <c r="N32" s="85">
        <v>1419.6445762924195</v>
      </c>
    </row>
    <row r="33" spans="1:18" x14ac:dyDescent="0.3">
      <c r="A33" s="85">
        <v>4</v>
      </c>
      <c r="C33" s="85">
        <f t="shared" si="0"/>
        <v>27</v>
      </c>
      <c r="D33" s="85">
        <f t="shared" si="1"/>
        <v>27</v>
      </c>
      <c r="E33" s="85">
        <f t="shared" si="2"/>
        <v>12</v>
      </c>
      <c r="F33" s="85" t="str">
        <f t="shared" si="3"/>
        <v>pm</v>
      </c>
      <c r="G33" s="85" t="s">
        <v>149</v>
      </c>
      <c r="H33" s="85" t="s">
        <v>150</v>
      </c>
      <c r="I33" s="85" t="s">
        <v>151</v>
      </c>
      <c r="K33" s="86">
        <f t="shared" si="4"/>
        <v>1331.2672489449701</v>
      </c>
      <c r="M33" s="86">
        <v>1400</v>
      </c>
      <c r="R33" s="85">
        <v>1331.2672489449701</v>
      </c>
    </row>
    <row r="34" spans="1:18" x14ac:dyDescent="0.3">
      <c r="A34" s="85">
        <v>4</v>
      </c>
      <c r="C34" s="85">
        <f t="shared" si="0"/>
        <v>28</v>
      </c>
      <c r="D34" s="85">
        <f t="shared" si="1"/>
        <v>28</v>
      </c>
      <c r="E34" s="85">
        <f t="shared" si="2"/>
        <v>12</v>
      </c>
      <c r="F34" s="85" t="str">
        <f t="shared" si="3"/>
        <v>pm</v>
      </c>
      <c r="G34" s="85" t="s">
        <v>187</v>
      </c>
      <c r="H34" s="85" t="s">
        <v>150</v>
      </c>
      <c r="I34" s="85" t="s">
        <v>188</v>
      </c>
      <c r="K34" s="86">
        <f t="shared" si="4"/>
        <v>1304.7360573036954</v>
      </c>
      <c r="M34" s="86">
        <v>1400</v>
      </c>
      <c r="R34" s="85">
        <v>1304.7360573036954</v>
      </c>
    </row>
    <row r="35" spans="1:18" x14ac:dyDescent="0.3">
      <c r="A35" s="85">
        <v>7</v>
      </c>
      <c r="C35" s="85">
        <f t="shared" si="0"/>
        <v>29</v>
      </c>
      <c r="D35" s="85">
        <f t="shared" si="1"/>
        <v>29</v>
      </c>
      <c r="E35" s="85">
        <f t="shared" si="2"/>
        <v>12</v>
      </c>
      <c r="F35" s="85" t="str">
        <f t="shared" si="3"/>
        <v>pm</v>
      </c>
      <c r="G35" s="85" t="s">
        <v>152</v>
      </c>
      <c r="H35" s="85" t="s">
        <v>153</v>
      </c>
      <c r="I35" s="85" t="s">
        <v>530</v>
      </c>
      <c r="K35" s="86">
        <f t="shared" si="4"/>
        <v>1458.1809861607323</v>
      </c>
      <c r="M35" s="86">
        <v>1400</v>
      </c>
      <c r="N35" s="85">
        <v>1334.5199657762885</v>
      </c>
      <c r="P35" s="85">
        <v>1385.9530682556606</v>
      </c>
      <c r="R35" s="85">
        <v>1458.1809861607323</v>
      </c>
    </row>
    <row r="36" spans="1:18" x14ac:dyDescent="0.3">
      <c r="A36" s="85">
        <v>1</v>
      </c>
      <c r="C36" s="85">
        <f t="shared" si="0"/>
        <v>30</v>
      </c>
      <c r="D36" s="85">
        <f t="shared" si="1"/>
        <v>30</v>
      </c>
      <c r="E36" s="85">
        <f t="shared" si="2"/>
        <v>12</v>
      </c>
      <c r="F36" s="85" t="str">
        <f t="shared" si="3"/>
        <v>pmx</v>
      </c>
      <c r="G36" s="85" t="s">
        <v>531</v>
      </c>
      <c r="H36" s="85" t="s">
        <v>206</v>
      </c>
      <c r="I36" s="85" t="s">
        <v>532</v>
      </c>
      <c r="K36" s="86">
        <f t="shared" si="4"/>
        <v>1400</v>
      </c>
      <c r="M36" s="86">
        <v>1400</v>
      </c>
    </row>
    <row r="37" spans="1:18" x14ac:dyDescent="0.3">
      <c r="A37" s="85">
        <v>3</v>
      </c>
      <c r="C37" s="85">
        <f t="shared" si="0"/>
        <v>31</v>
      </c>
      <c r="D37" s="85">
        <f t="shared" si="1"/>
        <v>31</v>
      </c>
      <c r="E37" s="85">
        <f t="shared" si="2"/>
        <v>12</v>
      </c>
      <c r="F37" s="85" t="str">
        <f t="shared" si="3"/>
        <v>pm</v>
      </c>
      <c r="G37" s="85" t="s">
        <v>533</v>
      </c>
      <c r="H37" s="85" t="s">
        <v>534</v>
      </c>
      <c r="I37" s="85" t="s">
        <v>535</v>
      </c>
      <c r="K37" s="86">
        <f t="shared" si="4"/>
        <v>1445.866311589471</v>
      </c>
      <c r="M37" s="86">
        <v>1400</v>
      </c>
      <c r="P37" s="85">
        <v>1445.866311589471</v>
      </c>
    </row>
    <row r="38" spans="1:18" x14ac:dyDescent="0.3">
      <c r="A38" s="85">
        <v>3</v>
      </c>
      <c r="C38" s="85">
        <f t="shared" si="0"/>
        <v>32</v>
      </c>
      <c r="D38" s="85">
        <f t="shared" si="1"/>
        <v>32</v>
      </c>
      <c r="E38" s="85">
        <f t="shared" si="2"/>
        <v>12</v>
      </c>
      <c r="F38" s="85" t="str">
        <f t="shared" si="3"/>
        <v>pm</v>
      </c>
      <c r="G38" s="85" t="s">
        <v>536</v>
      </c>
      <c r="H38" s="85" t="s">
        <v>534</v>
      </c>
      <c r="I38" s="85" t="s">
        <v>537</v>
      </c>
      <c r="K38" s="86">
        <f t="shared" si="4"/>
        <v>1296.9548720074079</v>
      </c>
      <c r="M38" s="86">
        <v>1400</v>
      </c>
      <c r="P38" s="85">
        <v>1296.9548720074079</v>
      </c>
    </row>
    <row r="39" spans="1:18" x14ac:dyDescent="0.3">
      <c r="A39" s="85">
        <v>6</v>
      </c>
      <c r="C39" s="85">
        <f t="shared" si="0"/>
        <v>33</v>
      </c>
      <c r="D39" s="85">
        <f t="shared" si="1"/>
        <v>33</v>
      </c>
      <c r="E39" s="85">
        <f t="shared" si="2"/>
        <v>12</v>
      </c>
      <c r="F39" s="85" t="str">
        <f t="shared" si="3"/>
        <v>pm</v>
      </c>
      <c r="G39" s="85" t="s">
        <v>166</v>
      </c>
      <c r="H39" s="85" t="s">
        <v>167</v>
      </c>
      <c r="I39" s="85" t="s">
        <v>168</v>
      </c>
      <c r="K39" s="86">
        <f t="shared" si="4"/>
        <v>1412.9817039109021</v>
      </c>
      <c r="M39" s="86">
        <v>1400</v>
      </c>
      <c r="P39" s="85">
        <v>1368.8186614357858</v>
      </c>
      <c r="R39" s="85">
        <v>1412.9817039109021</v>
      </c>
    </row>
    <row r="40" spans="1:18" x14ac:dyDescent="0.3">
      <c r="A40" s="85">
        <v>3</v>
      </c>
      <c r="C40" s="85">
        <f t="shared" si="0"/>
        <v>34</v>
      </c>
      <c r="D40" s="85">
        <f t="shared" si="1"/>
        <v>34</v>
      </c>
      <c r="E40" s="85">
        <f t="shared" si="2"/>
        <v>12</v>
      </c>
      <c r="F40" s="85" t="str">
        <f t="shared" si="3"/>
        <v>pm</v>
      </c>
      <c r="G40" s="85" t="s">
        <v>41</v>
      </c>
      <c r="H40" s="85" t="s">
        <v>167</v>
      </c>
      <c r="I40" s="85" t="s">
        <v>538</v>
      </c>
      <c r="K40" s="86">
        <f t="shared" si="4"/>
        <v>1424.3253801381572</v>
      </c>
      <c r="M40" s="86">
        <v>1400</v>
      </c>
      <c r="P40" s="85">
        <v>1424.3253801381572</v>
      </c>
    </row>
    <row r="41" spans="1:18" x14ac:dyDescent="0.3">
      <c r="A41" s="85">
        <v>4</v>
      </c>
      <c r="C41" s="85">
        <f t="shared" si="0"/>
        <v>35</v>
      </c>
      <c r="D41" s="85">
        <f t="shared" si="1"/>
        <v>35</v>
      </c>
      <c r="E41" s="85">
        <f t="shared" si="2"/>
        <v>12</v>
      </c>
      <c r="F41" s="85" t="str">
        <f t="shared" si="3"/>
        <v>pm</v>
      </c>
      <c r="G41" s="85" t="s">
        <v>539</v>
      </c>
      <c r="H41" s="85" t="s">
        <v>500</v>
      </c>
      <c r="I41" s="85" t="s">
        <v>540</v>
      </c>
      <c r="K41" s="86">
        <f t="shared" si="4"/>
        <v>1350.9184048274544</v>
      </c>
      <c r="M41" s="86">
        <v>1400</v>
      </c>
      <c r="P41" s="85">
        <v>1312.5310212754796</v>
      </c>
      <c r="R41" s="85">
        <v>1350.9184048274544</v>
      </c>
    </row>
    <row r="42" spans="1:18" x14ac:dyDescent="0.3">
      <c r="A42" s="85">
        <v>2</v>
      </c>
      <c r="C42" s="85">
        <f t="shared" si="0"/>
        <v>36</v>
      </c>
      <c r="D42" s="85">
        <f t="shared" si="1"/>
        <v>36</v>
      </c>
      <c r="E42" s="85">
        <f t="shared" si="2"/>
        <v>12</v>
      </c>
      <c r="F42" s="85" t="str">
        <f t="shared" si="3"/>
        <v>pm</v>
      </c>
      <c r="G42" s="85" t="s">
        <v>541</v>
      </c>
      <c r="H42" s="85" t="s">
        <v>159</v>
      </c>
      <c r="I42" s="85" t="s">
        <v>542</v>
      </c>
      <c r="K42" s="86">
        <f t="shared" si="4"/>
        <v>1400</v>
      </c>
      <c r="M42" s="86">
        <v>1400</v>
      </c>
    </row>
    <row r="43" spans="1:18" x14ac:dyDescent="0.3">
      <c r="A43" s="85">
        <v>1</v>
      </c>
      <c r="C43" s="85">
        <f t="shared" si="0"/>
        <v>37</v>
      </c>
      <c r="D43" s="85">
        <f t="shared" si="1"/>
        <v>37</v>
      </c>
      <c r="E43" s="85">
        <f t="shared" si="2"/>
        <v>12</v>
      </c>
      <c r="F43" s="85" t="str">
        <f t="shared" si="3"/>
        <v>crx</v>
      </c>
      <c r="G43" s="85" t="s">
        <v>543</v>
      </c>
      <c r="H43" s="85" t="s">
        <v>544</v>
      </c>
      <c r="I43" s="85" t="s">
        <v>545</v>
      </c>
      <c r="K43" s="86">
        <f t="shared" si="4"/>
        <v>1361.5371698741974</v>
      </c>
      <c r="M43" s="86">
        <v>1400</v>
      </c>
      <c r="P43" s="85">
        <v>1361.5371698741974</v>
      </c>
    </row>
    <row r="44" spans="1:18" x14ac:dyDescent="0.3">
      <c r="A44" s="85">
        <v>3</v>
      </c>
      <c r="C44" s="85">
        <f t="shared" si="0"/>
        <v>38</v>
      </c>
      <c r="D44" s="85">
        <f t="shared" si="1"/>
        <v>38</v>
      </c>
      <c r="E44" s="85">
        <f t="shared" si="2"/>
        <v>12</v>
      </c>
      <c r="F44" s="85" t="str">
        <f t="shared" si="3"/>
        <v>cr</v>
      </c>
      <c r="G44" s="85" t="s">
        <v>427</v>
      </c>
      <c r="H44" s="85" t="s">
        <v>495</v>
      </c>
      <c r="I44" s="85" t="s">
        <v>428</v>
      </c>
      <c r="K44" s="86">
        <f t="shared" si="4"/>
        <v>1359.5554742731761</v>
      </c>
      <c r="M44" s="86">
        <v>1400</v>
      </c>
      <c r="P44" s="85">
        <v>1359.5554742731761</v>
      </c>
    </row>
    <row r="45" spans="1:18" x14ac:dyDescent="0.3">
      <c r="A45" s="85">
        <v>1</v>
      </c>
      <c r="C45" s="85">
        <f t="shared" si="0"/>
        <v>39</v>
      </c>
      <c r="D45" s="85">
        <f t="shared" si="1"/>
        <v>39</v>
      </c>
      <c r="E45" s="85">
        <f t="shared" si="2"/>
        <v>12</v>
      </c>
      <c r="F45" s="85" t="str">
        <f t="shared" si="3"/>
        <v>crx</v>
      </c>
      <c r="G45" s="85" t="s">
        <v>443</v>
      </c>
      <c r="H45" s="85" t="s">
        <v>546</v>
      </c>
      <c r="I45" s="85" t="s">
        <v>547</v>
      </c>
      <c r="K45" s="86">
        <f t="shared" si="4"/>
        <v>1478.5154866564021</v>
      </c>
      <c r="M45" s="86">
        <v>1400</v>
      </c>
      <c r="P45" s="85">
        <v>1478.5154866564021</v>
      </c>
    </row>
    <row r="46" spans="1:18" x14ac:dyDescent="0.3">
      <c r="A46" s="85">
        <v>3</v>
      </c>
      <c r="C46" s="85">
        <f t="shared" si="0"/>
        <v>40</v>
      </c>
      <c r="D46" s="85">
        <f t="shared" si="1"/>
        <v>40</v>
      </c>
      <c r="E46" s="85">
        <f t="shared" si="2"/>
        <v>12</v>
      </c>
      <c r="F46" s="85" t="str">
        <f t="shared" si="3"/>
        <v>pm</v>
      </c>
      <c r="G46" s="85" t="s">
        <v>548</v>
      </c>
      <c r="H46" s="85" t="s">
        <v>549</v>
      </c>
      <c r="I46" s="85" t="s">
        <v>550</v>
      </c>
      <c r="K46" s="86">
        <f t="shared" si="4"/>
        <v>1223.6919791768021</v>
      </c>
      <c r="M46" s="86">
        <v>1266.6666666666667</v>
      </c>
      <c r="N46" s="85">
        <v>1184.4234246867265</v>
      </c>
      <c r="R46" s="85">
        <v>1223.6919791768021</v>
      </c>
    </row>
    <row r="47" spans="1:18" x14ac:dyDescent="0.3">
      <c r="A47" s="85">
        <v>2</v>
      </c>
      <c r="C47" s="85">
        <f t="shared" si="0"/>
        <v>41</v>
      </c>
      <c r="D47" s="85">
        <f t="shared" si="1"/>
        <v>41</v>
      </c>
      <c r="E47" s="85">
        <f t="shared" si="2"/>
        <v>12</v>
      </c>
      <c r="F47" s="85" t="str">
        <f t="shared" si="3"/>
        <v>pm</v>
      </c>
      <c r="G47" s="85" t="s">
        <v>25</v>
      </c>
      <c r="H47" s="85" t="s">
        <v>144</v>
      </c>
      <c r="I47" s="85" t="s">
        <v>551</v>
      </c>
      <c r="K47" s="86">
        <f t="shared" si="4"/>
        <v>1200</v>
      </c>
      <c r="M47" s="86">
        <v>1200</v>
      </c>
    </row>
    <row r="48" spans="1:18" x14ac:dyDescent="0.3">
      <c r="A48" s="85">
        <v>2</v>
      </c>
      <c r="C48" s="85">
        <f t="shared" si="0"/>
        <v>42</v>
      </c>
      <c r="D48" s="85">
        <f t="shared" si="1"/>
        <v>41</v>
      </c>
      <c r="E48" s="85">
        <f t="shared" si="2"/>
        <v>12</v>
      </c>
      <c r="F48" s="85" t="str">
        <f t="shared" si="3"/>
        <v>pm</v>
      </c>
      <c r="G48" s="85" t="s">
        <v>23</v>
      </c>
      <c r="H48" s="85" t="s">
        <v>144</v>
      </c>
      <c r="I48" s="85" t="s">
        <v>552</v>
      </c>
      <c r="K48" s="86">
        <f t="shared" si="4"/>
        <v>1200</v>
      </c>
      <c r="M48" s="86">
        <v>1200</v>
      </c>
    </row>
    <row r="49" spans="1:18" x14ac:dyDescent="0.3">
      <c r="A49" s="85">
        <v>2</v>
      </c>
      <c r="C49" s="85">
        <f t="shared" si="0"/>
        <v>43</v>
      </c>
      <c r="D49" s="85">
        <f t="shared" si="1"/>
        <v>41</v>
      </c>
      <c r="E49" s="85">
        <f t="shared" si="2"/>
        <v>12</v>
      </c>
      <c r="F49" s="85" t="str">
        <f t="shared" si="3"/>
        <v>pm</v>
      </c>
      <c r="G49" s="85" t="s">
        <v>195</v>
      </c>
      <c r="H49" s="85" t="s">
        <v>144</v>
      </c>
      <c r="I49" s="85" t="s">
        <v>553</v>
      </c>
      <c r="K49" s="86">
        <f t="shared" si="4"/>
        <v>1200</v>
      </c>
      <c r="M49" s="86">
        <v>1200</v>
      </c>
    </row>
    <row r="50" spans="1:18" x14ac:dyDescent="0.3">
      <c r="A50" s="85">
        <v>3</v>
      </c>
      <c r="C50" s="85">
        <f t="shared" si="0"/>
        <v>44</v>
      </c>
      <c r="D50" s="85">
        <f t="shared" si="1"/>
        <v>44</v>
      </c>
      <c r="E50" s="85">
        <f t="shared" si="2"/>
        <v>12</v>
      </c>
      <c r="F50" s="85" t="str">
        <f t="shared" si="3"/>
        <v>pm</v>
      </c>
      <c r="G50" s="85" t="s">
        <v>554</v>
      </c>
      <c r="H50" s="85" t="s">
        <v>175</v>
      </c>
      <c r="I50" s="85" t="s">
        <v>455</v>
      </c>
      <c r="K50" s="86">
        <f t="shared" si="4"/>
        <v>1226.3973469482601</v>
      </c>
      <c r="M50" s="86">
        <v>1200</v>
      </c>
      <c r="R50" s="85">
        <v>1226.3973469482601</v>
      </c>
    </row>
    <row r="51" spans="1:18" x14ac:dyDescent="0.3">
      <c r="A51" s="85">
        <v>4</v>
      </c>
      <c r="C51" s="85">
        <f t="shared" si="0"/>
        <v>45</v>
      </c>
      <c r="D51" s="85">
        <f t="shared" si="1"/>
        <v>45</v>
      </c>
      <c r="E51" s="85">
        <f t="shared" si="2"/>
        <v>12</v>
      </c>
      <c r="F51" s="85" t="str">
        <f t="shared" si="3"/>
        <v>pm</v>
      </c>
      <c r="G51" s="85" t="s">
        <v>555</v>
      </c>
      <c r="H51" s="85" t="s">
        <v>526</v>
      </c>
      <c r="I51" s="85" t="s">
        <v>556</v>
      </c>
      <c r="K51" s="86">
        <f t="shared" si="4"/>
        <v>1209.5998411584437</v>
      </c>
      <c r="M51" s="86">
        <v>1200</v>
      </c>
      <c r="R51" s="85">
        <v>1209.5998411584437</v>
      </c>
    </row>
    <row r="52" spans="1:18" x14ac:dyDescent="0.3">
      <c r="A52" s="85">
        <v>4</v>
      </c>
      <c r="C52" s="85">
        <f t="shared" si="0"/>
        <v>46</v>
      </c>
      <c r="D52" s="85">
        <f t="shared" si="1"/>
        <v>46</v>
      </c>
      <c r="E52" s="85">
        <f t="shared" si="2"/>
        <v>12</v>
      </c>
      <c r="F52" s="85" t="str">
        <f t="shared" si="3"/>
        <v>pm</v>
      </c>
      <c r="G52" s="85" t="s">
        <v>557</v>
      </c>
      <c r="H52" s="85" t="s">
        <v>145</v>
      </c>
      <c r="I52" s="85" t="s">
        <v>450</v>
      </c>
      <c r="K52" s="86">
        <f t="shared" si="4"/>
        <v>1254.9815924153156</v>
      </c>
      <c r="M52" s="86">
        <v>1200</v>
      </c>
      <c r="R52" s="85">
        <v>1254.9815924153156</v>
      </c>
    </row>
    <row r="53" spans="1:18" x14ac:dyDescent="0.3">
      <c r="A53" s="85">
        <v>3</v>
      </c>
      <c r="C53" s="85">
        <f t="shared" si="0"/>
        <v>47</v>
      </c>
      <c r="D53" s="85">
        <f t="shared" si="1"/>
        <v>47</v>
      </c>
      <c r="E53" s="85">
        <f t="shared" si="2"/>
        <v>12</v>
      </c>
      <c r="F53" s="85" t="str">
        <f t="shared" si="3"/>
        <v>pm</v>
      </c>
      <c r="G53" s="85" t="s">
        <v>197</v>
      </c>
      <c r="H53" s="85" t="s">
        <v>182</v>
      </c>
      <c r="I53" s="85" t="s">
        <v>198</v>
      </c>
      <c r="K53" s="86">
        <f t="shared" si="4"/>
        <v>1168.7870094576099</v>
      </c>
      <c r="M53" s="86">
        <v>1200</v>
      </c>
      <c r="P53" s="85">
        <v>1157.2304177245248</v>
      </c>
      <c r="R53" s="85">
        <v>1168.7870094576099</v>
      </c>
    </row>
    <row r="54" spans="1:18" x14ac:dyDescent="0.3">
      <c r="A54" s="85">
        <v>2</v>
      </c>
      <c r="C54" s="85">
        <f t="shared" si="0"/>
        <v>48</v>
      </c>
      <c r="D54" s="85">
        <f t="shared" si="1"/>
        <v>48</v>
      </c>
      <c r="E54" s="85">
        <f t="shared" si="2"/>
        <v>12</v>
      </c>
      <c r="F54" s="85" t="str">
        <f t="shared" si="3"/>
        <v>pm</v>
      </c>
      <c r="G54" s="85" t="s">
        <v>558</v>
      </c>
      <c r="H54" s="85" t="s">
        <v>182</v>
      </c>
      <c r="I54" s="85" t="s">
        <v>465</v>
      </c>
      <c r="K54" s="86">
        <f t="shared" si="4"/>
        <v>1232.9485890312642</v>
      </c>
      <c r="M54" s="86">
        <v>1200</v>
      </c>
      <c r="R54" s="85">
        <v>1232.9485890312642</v>
      </c>
    </row>
    <row r="55" spans="1:18" x14ac:dyDescent="0.3">
      <c r="A55" s="85">
        <v>2</v>
      </c>
      <c r="C55" s="85">
        <f t="shared" si="0"/>
        <v>49</v>
      </c>
      <c r="D55" s="85">
        <f t="shared" si="1"/>
        <v>49</v>
      </c>
      <c r="E55" s="85">
        <f t="shared" si="2"/>
        <v>12</v>
      </c>
      <c r="F55" s="85" t="str">
        <f t="shared" si="3"/>
        <v>pm</v>
      </c>
      <c r="G55" s="85" t="s">
        <v>199</v>
      </c>
      <c r="H55" s="85" t="s">
        <v>150</v>
      </c>
      <c r="I55" s="85" t="s">
        <v>200</v>
      </c>
      <c r="K55" s="86">
        <f t="shared" si="4"/>
        <v>1148.3194134379773</v>
      </c>
      <c r="M55" s="86">
        <v>1200</v>
      </c>
      <c r="R55" s="85">
        <v>1148.3194134379773</v>
      </c>
    </row>
    <row r="56" spans="1:18" x14ac:dyDescent="0.3">
      <c r="A56" s="85">
        <v>2</v>
      </c>
      <c r="C56" s="85">
        <f t="shared" si="0"/>
        <v>50</v>
      </c>
      <c r="D56" s="85">
        <f t="shared" si="1"/>
        <v>50</v>
      </c>
      <c r="E56" s="85">
        <f t="shared" si="2"/>
        <v>12</v>
      </c>
      <c r="F56" s="85" t="str">
        <f t="shared" si="3"/>
        <v>pm</v>
      </c>
      <c r="G56" s="85" t="s">
        <v>201</v>
      </c>
      <c r="H56" s="85" t="s">
        <v>150</v>
      </c>
      <c r="I56" s="85" t="s">
        <v>202</v>
      </c>
      <c r="K56" s="86">
        <f t="shared" si="4"/>
        <v>1132.182653249615</v>
      </c>
      <c r="M56" s="86">
        <v>1200</v>
      </c>
      <c r="P56" s="85">
        <v>1176.7513934507317</v>
      </c>
      <c r="R56" s="85">
        <v>1132.182653249615</v>
      </c>
    </row>
    <row r="57" spans="1:18" x14ac:dyDescent="0.3">
      <c r="A57" s="85">
        <v>2</v>
      </c>
      <c r="C57" s="85">
        <f t="shared" si="0"/>
        <v>51</v>
      </c>
      <c r="D57" s="85">
        <f t="shared" si="1"/>
        <v>51</v>
      </c>
      <c r="E57" s="85">
        <f t="shared" si="2"/>
        <v>12</v>
      </c>
      <c r="F57" s="85" t="str">
        <f t="shared" si="3"/>
        <v>pm</v>
      </c>
      <c r="G57" s="85" t="s">
        <v>559</v>
      </c>
      <c r="H57" s="85" t="s">
        <v>150</v>
      </c>
      <c r="I57" s="85" t="s">
        <v>463</v>
      </c>
      <c r="K57" s="86">
        <f t="shared" si="4"/>
        <v>1191.5286506498262</v>
      </c>
      <c r="M57" s="86">
        <v>1200</v>
      </c>
      <c r="R57" s="85">
        <v>1191.5286506498262</v>
      </c>
    </row>
    <row r="58" spans="1:18" x14ac:dyDescent="0.3">
      <c r="A58" s="85">
        <v>1</v>
      </c>
      <c r="C58" s="85">
        <f t="shared" si="0"/>
        <v>52</v>
      </c>
      <c r="D58" s="85">
        <f t="shared" si="1"/>
        <v>52</v>
      </c>
      <c r="E58" s="85">
        <f t="shared" si="2"/>
        <v>12</v>
      </c>
      <c r="F58" s="85" t="str">
        <f t="shared" si="3"/>
        <v>pmx</v>
      </c>
      <c r="G58" s="85" t="s">
        <v>203</v>
      </c>
      <c r="H58" s="85" t="s">
        <v>204</v>
      </c>
      <c r="I58" s="85" t="s">
        <v>205</v>
      </c>
      <c r="K58" s="86">
        <f t="shared" si="4"/>
        <v>1200</v>
      </c>
      <c r="M58" s="86">
        <v>1200</v>
      </c>
    </row>
    <row r="59" spans="1:18" x14ac:dyDescent="0.3">
      <c r="A59" s="85">
        <v>3</v>
      </c>
      <c r="C59" s="85">
        <f t="shared" si="0"/>
        <v>53</v>
      </c>
      <c r="D59" s="85">
        <f t="shared" si="1"/>
        <v>52</v>
      </c>
      <c r="E59" s="85">
        <f t="shared" si="2"/>
        <v>12</v>
      </c>
      <c r="F59" s="85" t="str">
        <f t="shared" si="3"/>
        <v>pm</v>
      </c>
      <c r="G59" s="85" t="s">
        <v>560</v>
      </c>
      <c r="H59" s="85" t="s">
        <v>235</v>
      </c>
      <c r="I59" s="85" t="s">
        <v>561</v>
      </c>
      <c r="K59" s="86">
        <f t="shared" si="4"/>
        <v>1200</v>
      </c>
      <c r="M59" s="86">
        <v>1200</v>
      </c>
    </row>
    <row r="60" spans="1:18" x14ac:dyDescent="0.3">
      <c r="A60" s="85">
        <v>4</v>
      </c>
      <c r="C60" s="85">
        <f t="shared" si="0"/>
        <v>54</v>
      </c>
      <c r="D60" s="85">
        <f t="shared" si="1"/>
        <v>54</v>
      </c>
      <c r="E60" s="85">
        <f t="shared" si="2"/>
        <v>12</v>
      </c>
      <c r="F60" s="85" t="str">
        <f t="shared" si="3"/>
        <v>pm</v>
      </c>
      <c r="G60" s="85" t="s">
        <v>189</v>
      </c>
      <c r="H60" s="85" t="s">
        <v>167</v>
      </c>
      <c r="I60" s="85" t="s">
        <v>40</v>
      </c>
      <c r="K60" s="86">
        <f t="shared" si="4"/>
        <v>1201.9833075891768</v>
      </c>
      <c r="M60" s="86">
        <v>1200</v>
      </c>
      <c r="P60" s="85">
        <v>1189.1105508037228</v>
      </c>
      <c r="R60" s="85">
        <v>1201.9833075891768</v>
      </c>
    </row>
    <row r="61" spans="1:18" x14ac:dyDescent="0.3">
      <c r="A61" s="85">
        <v>4</v>
      </c>
      <c r="C61" s="85">
        <f t="shared" si="0"/>
        <v>55</v>
      </c>
      <c r="D61" s="85">
        <f t="shared" si="1"/>
        <v>55</v>
      </c>
      <c r="E61" s="85">
        <f t="shared" si="2"/>
        <v>12</v>
      </c>
      <c r="F61" s="85" t="str">
        <f t="shared" si="3"/>
        <v>pm</v>
      </c>
      <c r="G61" s="85" t="s">
        <v>193</v>
      </c>
      <c r="H61" s="85" t="s">
        <v>167</v>
      </c>
      <c r="I61" s="85" t="s">
        <v>207</v>
      </c>
      <c r="K61" s="86">
        <f t="shared" si="4"/>
        <v>1309.2757150235238</v>
      </c>
      <c r="M61" s="86">
        <v>1200</v>
      </c>
      <c r="P61" s="85">
        <v>1298.5668972647138</v>
      </c>
      <c r="R61" s="85">
        <v>1309.2757150235238</v>
      </c>
    </row>
    <row r="62" spans="1:18" x14ac:dyDescent="0.3">
      <c r="A62" s="85">
        <v>3</v>
      </c>
      <c r="C62" s="85">
        <f t="shared" si="0"/>
        <v>56</v>
      </c>
      <c r="D62" s="85">
        <f t="shared" si="1"/>
        <v>56</v>
      </c>
      <c r="E62" s="85">
        <f t="shared" si="2"/>
        <v>12</v>
      </c>
      <c r="F62" s="85" t="str">
        <f t="shared" si="3"/>
        <v>pm</v>
      </c>
      <c r="G62" s="85" t="s">
        <v>190</v>
      </c>
      <c r="H62" s="85" t="s">
        <v>562</v>
      </c>
      <c r="I62" s="85" t="s">
        <v>191</v>
      </c>
      <c r="K62" s="86">
        <f t="shared" si="4"/>
        <v>1176.7200547305524</v>
      </c>
      <c r="M62" s="86">
        <v>1200</v>
      </c>
      <c r="R62" s="85">
        <v>1176.7200547305524</v>
      </c>
    </row>
    <row r="63" spans="1:18" x14ac:dyDescent="0.3">
      <c r="A63" s="85">
        <v>2</v>
      </c>
      <c r="C63" s="85">
        <f t="shared" si="0"/>
        <v>57</v>
      </c>
      <c r="D63" s="85">
        <f t="shared" si="1"/>
        <v>57</v>
      </c>
      <c r="E63" s="85">
        <f t="shared" si="2"/>
        <v>12</v>
      </c>
      <c r="F63" s="85" t="str">
        <f t="shared" si="3"/>
        <v>cr</v>
      </c>
      <c r="G63" s="85" t="s">
        <v>30</v>
      </c>
      <c r="H63" s="85" t="s">
        <v>490</v>
      </c>
      <c r="I63" s="85" t="s">
        <v>29</v>
      </c>
      <c r="K63" s="86">
        <f t="shared" si="4"/>
        <v>1181.4470908066889</v>
      </c>
      <c r="M63" s="86">
        <v>1200</v>
      </c>
      <c r="R63" s="85">
        <v>1181.4470908066889</v>
      </c>
    </row>
    <row r="64" spans="1:18" x14ac:dyDescent="0.3">
      <c r="A64" s="85">
        <v>6</v>
      </c>
      <c r="C64" s="85">
        <f t="shared" si="0"/>
        <v>1</v>
      </c>
      <c r="D64" s="85">
        <f t="shared" si="1"/>
        <v>1</v>
      </c>
      <c r="E64" s="85">
        <f t="shared" si="2"/>
        <v>13</v>
      </c>
      <c r="F64" s="85" t="str">
        <f t="shared" si="3"/>
        <v>pm</v>
      </c>
      <c r="G64" s="85" t="s">
        <v>211</v>
      </c>
      <c r="H64" s="85" t="s">
        <v>177</v>
      </c>
      <c r="I64" s="85" t="s">
        <v>212</v>
      </c>
      <c r="K64" s="86">
        <f t="shared" si="4"/>
        <v>2028.7259384377141</v>
      </c>
      <c r="M64" s="86">
        <v>2000</v>
      </c>
      <c r="O64" s="85">
        <v>2060.3419653407827</v>
      </c>
      <c r="P64" s="85">
        <v>1987.6646605891308</v>
      </c>
      <c r="Q64" s="85">
        <v>2028.7259384377141</v>
      </c>
    </row>
    <row r="65" spans="1:17" x14ac:dyDescent="0.3">
      <c r="A65" s="85">
        <v>4</v>
      </c>
      <c r="C65" s="85">
        <f t="shared" si="0"/>
        <v>2</v>
      </c>
      <c r="D65" s="85">
        <f t="shared" si="1"/>
        <v>2</v>
      </c>
      <c r="E65" s="85">
        <f t="shared" si="2"/>
        <v>13</v>
      </c>
      <c r="F65" s="85" t="str">
        <f t="shared" si="3"/>
        <v>pm</v>
      </c>
      <c r="G65" s="85" t="s">
        <v>213</v>
      </c>
      <c r="H65" s="85" t="s">
        <v>186</v>
      </c>
      <c r="I65" s="85" t="s">
        <v>563</v>
      </c>
      <c r="K65" s="86">
        <f t="shared" si="4"/>
        <v>1889.35082931787</v>
      </c>
      <c r="M65" s="86">
        <v>2000</v>
      </c>
      <c r="O65" s="85">
        <v>1889.35082931787</v>
      </c>
    </row>
    <row r="66" spans="1:17" x14ac:dyDescent="0.3">
      <c r="A66" s="85">
        <v>5</v>
      </c>
      <c r="C66" s="85">
        <f t="shared" ref="C66:C129" si="5">IF(E66=E65,C65+1,1)</f>
        <v>3</v>
      </c>
      <c r="D66" s="85">
        <f t="shared" ref="D66:D129" si="6">IF(K66=K65,D65,C66)</f>
        <v>3</v>
      </c>
      <c r="E66" s="85">
        <f t="shared" ref="E66:E129" si="7">10+VALUE(RIGHT(LEFT(G66,3),1))</f>
        <v>13</v>
      </c>
      <c r="F66" s="85" t="str">
        <f t="shared" ref="F66:F129" si="8">RIGHT(G66,2) &amp; IF(A66&lt;2,"x","")</f>
        <v>pm</v>
      </c>
      <c r="G66" s="85" t="s">
        <v>232</v>
      </c>
      <c r="H66" s="85" t="s">
        <v>186</v>
      </c>
      <c r="I66" s="85" t="s">
        <v>564</v>
      </c>
      <c r="K66" s="86">
        <f t="shared" ref="K66:K129" si="9">LOOKUP(1E+100,M66:AB66)</f>
        <v>1910.8241468183951</v>
      </c>
      <c r="M66" s="86">
        <v>2000</v>
      </c>
      <c r="O66" s="85">
        <v>1978.843978202189</v>
      </c>
      <c r="Q66" s="85">
        <v>1910.8241468183951</v>
      </c>
    </row>
    <row r="67" spans="1:17" x14ac:dyDescent="0.3">
      <c r="A67" s="85">
        <v>5</v>
      </c>
      <c r="C67" s="85">
        <f t="shared" si="5"/>
        <v>4</v>
      </c>
      <c r="D67" s="85">
        <f t="shared" si="6"/>
        <v>4</v>
      </c>
      <c r="E67" s="85">
        <f t="shared" si="7"/>
        <v>13</v>
      </c>
      <c r="F67" s="85" t="str">
        <f t="shared" si="8"/>
        <v>pm</v>
      </c>
      <c r="G67" s="85" t="s">
        <v>233</v>
      </c>
      <c r="H67" s="85" t="s">
        <v>186</v>
      </c>
      <c r="I67" s="85" t="s">
        <v>565</v>
      </c>
      <c r="K67" s="86">
        <f t="shared" si="9"/>
        <v>1946.4939424044867</v>
      </c>
      <c r="M67" s="86">
        <v>2000</v>
      </c>
      <c r="O67" s="85">
        <v>1966.1739071777461</v>
      </c>
      <c r="Q67" s="85">
        <v>1946.4939424044867</v>
      </c>
    </row>
    <row r="68" spans="1:17" x14ac:dyDescent="0.3">
      <c r="A68" s="85">
        <v>7</v>
      </c>
      <c r="C68" s="85">
        <f t="shared" si="5"/>
        <v>5</v>
      </c>
      <c r="D68" s="85">
        <f t="shared" si="6"/>
        <v>5</v>
      </c>
      <c r="E68" s="85">
        <f t="shared" si="7"/>
        <v>13</v>
      </c>
      <c r="F68" s="85" t="str">
        <f t="shared" si="8"/>
        <v>pm</v>
      </c>
      <c r="G68" s="85" t="s">
        <v>566</v>
      </c>
      <c r="H68" s="85" t="s">
        <v>153</v>
      </c>
      <c r="I68" s="85" t="s">
        <v>567</v>
      </c>
      <c r="K68" s="86">
        <f t="shared" si="9"/>
        <v>2158.9052927151342</v>
      </c>
      <c r="M68" s="86">
        <v>2000</v>
      </c>
      <c r="O68" s="85">
        <v>2082.9615061596824</v>
      </c>
      <c r="P68" s="85">
        <v>2166.6401899886919</v>
      </c>
      <c r="Q68" s="85">
        <v>2158.9052927151342</v>
      </c>
    </row>
    <row r="69" spans="1:17" x14ac:dyDescent="0.3">
      <c r="A69" s="85">
        <v>3</v>
      </c>
      <c r="C69" s="85">
        <f t="shared" si="5"/>
        <v>6</v>
      </c>
      <c r="D69" s="85">
        <f t="shared" si="6"/>
        <v>6</v>
      </c>
      <c r="E69" s="85">
        <f t="shared" si="7"/>
        <v>13</v>
      </c>
      <c r="F69" s="85" t="str">
        <f t="shared" si="8"/>
        <v>pm</v>
      </c>
      <c r="G69" s="85" t="s">
        <v>568</v>
      </c>
      <c r="H69" s="85" t="s">
        <v>258</v>
      </c>
      <c r="I69" s="85" t="s">
        <v>569</v>
      </c>
      <c r="K69" s="86">
        <f t="shared" si="9"/>
        <v>2000</v>
      </c>
      <c r="M69" s="86">
        <v>2000</v>
      </c>
    </row>
    <row r="70" spans="1:17" x14ac:dyDescent="0.3">
      <c r="A70" s="85">
        <v>1</v>
      </c>
      <c r="C70" s="85">
        <f t="shared" si="5"/>
        <v>7</v>
      </c>
      <c r="D70" s="85">
        <f t="shared" si="6"/>
        <v>7</v>
      </c>
      <c r="E70" s="85">
        <f t="shared" si="7"/>
        <v>13</v>
      </c>
      <c r="F70" s="85" t="str">
        <f t="shared" si="8"/>
        <v>pmx</v>
      </c>
      <c r="G70" s="85" t="s">
        <v>214</v>
      </c>
      <c r="H70" s="85" t="s">
        <v>163</v>
      </c>
      <c r="I70" s="85" t="s">
        <v>215</v>
      </c>
      <c r="K70" s="86">
        <f t="shared" si="9"/>
        <v>2115.655259967572</v>
      </c>
      <c r="M70" s="86">
        <v>2000</v>
      </c>
      <c r="Q70" s="85">
        <v>2115.655259967572</v>
      </c>
    </row>
    <row r="71" spans="1:17" x14ac:dyDescent="0.3">
      <c r="A71" s="85">
        <v>1</v>
      </c>
      <c r="C71" s="85">
        <f t="shared" si="5"/>
        <v>8</v>
      </c>
      <c r="D71" s="85">
        <f t="shared" si="6"/>
        <v>8</v>
      </c>
      <c r="E71" s="85">
        <f t="shared" si="7"/>
        <v>13</v>
      </c>
      <c r="F71" s="85" t="str">
        <f t="shared" si="8"/>
        <v>pmx</v>
      </c>
      <c r="G71" s="85" t="s">
        <v>216</v>
      </c>
      <c r="H71" s="85" t="s">
        <v>142</v>
      </c>
      <c r="I71" s="85" t="s">
        <v>217</v>
      </c>
      <c r="K71" s="86">
        <f t="shared" si="9"/>
        <v>2133.242093718723</v>
      </c>
      <c r="M71" s="86">
        <v>2000</v>
      </c>
      <c r="P71" s="85">
        <v>2133.242093718723</v>
      </c>
    </row>
    <row r="72" spans="1:17" x14ac:dyDescent="0.3">
      <c r="A72" s="85">
        <v>1</v>
      </c>
      <c r="C72" s="85">
        <f t="shared" si="5"/>
        <v>9</v>
      </c>
      <c r="D72" s="85">
        <f t="shared" si="6"/>
        <v>9</v>
      </c>
      <c r="E72" s="85">
        <f t="shared" si="7"/>
        <v>13</v>
      </c>
      <c r="F72" s="85" t="str">
        <f t="shared" si="8"/>
        <v>pmx</v>
      </c>
      <c r="G72" s="85" t="s">
        <v>218</v>
      </c>
      <c r="H72" s="85" t="s">
        <v>142</v>
      </c>
      <c r="I72" s="85" t="s">
        <v>219</v>
      </c>
      <c r="K72" s="86">
        <f t="shared" si="9"/>
        <v>1978.1601622751334</v>
      </c>
      <c r="M72" s="86">
        <v>2000</v>
      </c>
      <c r="P72" s="85">
        <v>1978.1601622751334</v>
      </c>
    </row>
    <row r="73" spans="1:17" x14ac:dyDescent="0.3">
      <c r="A73" s="85">
        <v>5</v>
      </c>
      <c r="C73" s="85">
        <f t="shared" si="5"/>
        <v>10</v>
      </c>
      <c r="D73" s="85">
        <f t="shared" si="6"/>
        <v>10</v>
      </c>
      <c r="E73" s="85">
        <f t="shared" si="7"/>
        <v>13</v>
      </c>
      <c r="F73" s="85" t="str">
        <f t="shared" si="8"/>
        <v>pm</v>
      </c>
      <c r="G73" s="85" t="s">
        <v>220</v>
      </c>
      <c r="H73" s="85" t="s">
        <v>497</v>
      </c>
      <c r="I73" s="85" t="s">
        <v>570</v>
      </c>
      <c r="K73" s="86">
        <f t="shared" si="9"/>
        <v>2093.9067840052389</v>
      </c>
      <c r="M73" s="86">
        <v>2000</v>
      </c>
      <c r="P73" s="85">
        <v>2063.7160280611906</v>
      </c>
      <c r="Q73" s="85">
        <v>2093.9067840052389</v>
      </c>
    </row>
    <row r="74" spans="1:17" x14ac:dyDescent="0.3">
      <c r="A74" s="85">
        <v>5</v>
      </c>
      <c r="C74" s="85">
        <f t="shared" si="5"/>
        <v>11</v>
      </c>
      <c r="D74" s="85">
        <f t="shared" si="6"/>
        <v>11</v>
      </c>
      <c r="E74" s="85">
        <f t="shared" si="7"/>
        <v>13</v>
      </c>
      <c r="F74" s="85" t="str">
        <f t="shared" si="8"/>
        <v>pm</v>
      </c>
      <c r="G74" s="85" t="s">
        <v>222</v>
      </c>
      <c r="H74" s="85" t="s">
        <v>497</v>
      </c>
      <c r="I74" s="85" t="s">
        <v>571</v>
      </c>
      <c r="K74" s="86">
        <f t="shared" si="9"/>
        <v>1918.4238666916301</v>
      </c>
      <c r="M74" s="86">
        <v>2000</v>
      </c>
      <c r="P74" s="85">
        <v>1978.7125428643328</v>
      </c>
      <c r="Q74" s="85">
        <v>1918.4238666916301</v>
      </c>
    </row>
    <row r="75" spans="1:17" x14ac:dyDescent="0.3">
      <c r="A75" s="85">
        <v>6</v>
      </c>
      <c r="C75" s="85">
        <f t="shared" si="5"/>
        <v>12</v>
      </c>
      <c r="D75" s="85">
        <f t="shared" si="6"/>
        <v>12</v>
      </c>
      <c r="E75" s="85">
        <f t="shared" si="7"/>
        <v>13</v>
      </c>
      <c r="F75" s="85" t="str">
        <f t="shared" si="8"/>
        <v>pm</v>
      </c>
      <c r="G75" s="85" t="s">
        <v>237</v>
      </c>
      <c r="H75" s="85" t="s">
        <v>167</v>
      </c>
      <c r="I75" s="85" t="s">
        <v>572</v>
      </c>
      <c r="K75" s="86">
        <f t="shared" si="9"/>
        <v>1910.2539094930257</v>
      </c>
      <c r="M75" s="86">
        <v>2000</v>
      </c>
      <c r="O75" s="85">
        <v>1941.3772442307425</v>
      </c>
      <c r="Q75" s="85">
        <v>1910.2539094930257</v>
      </c>
    </row>
    <row r="76" spans="1:17" x14ac:dyDescent="0.3">
      <c r="A76" s="85">
        <v>2</v>
      </c>
      <c r="C76" s="85">
        <f t="shared" si="5"/>
        <v>13</v>
      </c>
      <c r="D76" s="85">
        <f t="shared" si="6"/>
        <v>13</v>
      </c>
      <c r="E76" s="85">
        <f t="shared" si="7"/>
        <v>13</v>
      </c>
      <c r="F76" s="85" t="str">
        <f t="shared" si="8"/>
        <v>pm</v>
      </c>
      <c r="G76" s="85" t="s">
        <v>224</v>
      </c>
      <c r="H76" s="85" t="s">
        <v>159</v>
      </c>
      <c r="I76" s="85" t="s">
        <v>573</v>
      </c>
      <c r="K76" s="86">
        <f t="shared" si="9"/>
        <v>1965.4144908495527</v>
      </c>
      <c r="M76" s="86">
        <v>2000</v>
      </c>
      <c r="Q76" s="85">
        <v>1965.4144908495527</v>
      </c>
    </row>
    <row r="77" spans="1:17" x14ac:dyDescent="0.3">
      <c r="A77" s="85">
        <v>2</v>
      </c>
      <c r="C77" s="85">
        <f t="shared" si="5"/>
        <v>14</v>
      </c>
      <c r="D77" s="85">
        <f t="shared" si="6"/>
        <v>14</v>
      </c>
      <c r="E77" s="85">
        <f t="shared" si="7"/>
        <v>13</v>
      </c>
      <c r="F77" s="85" t="str">
        <f t="shared" si="8"/>
        <v>pm</v>
      </c>
      <c r="G77" s="85" t="s">
        <v>243</v>
      </c>
      <c r="H77" s="85" t="s">
        <v>502</v>
      </c>
      <c r="I77" s="85" t="s">
        <v>574</v>
      </c>
      <c r="K77" s="86">
        <f t="shared" si="9"/>
        <v>2000</v>
      </c>
      <c r="M77" s="86">
        <v>2000</v>
      </c>
    </row>
    <row r="78" spans="1:17" x14ac:dyDescent="0.3">
      <c r="A78" s="85">
        <v>1</v>
      </c>
      <c r="C78" s="85">
        <f t="shared" si="5"/>
        <v>15</v>
      </c>
      <c r="D78" s="85">
        <f t="shared" si="6"/>
        <v>14</v>
      </c>
      <c r="E78" s="85">
        <f t="shared" si="7"/>
        <v>13</v>
      </c>
      <c r="F78" s="85" t="str">
        <f t="shared" si="8"/>
        <v>crx</v>
      </c>
      <c r="G78" s="85" t="s">
        <v>575</v>
      </c>
      <c r="H78" s="85" t="s">
        <v>576</v>
      </c>
      <c r="I78" s="85" t="s">
        <v>577</v>
      </c>
      <c r="K78" s="86">
        <f t="shared" si="9"/>
        <v>2000</v>
      </c>
      <c r="M78" s="86">
        <v>2000</v>
      </c>
    </row>
    <row r="79" spans="1:17" x14ac:dyDescent="0.3">
      <c r="A79" s="85">
        <v>1</v>
      </c>
      <c r="C79" s="85">
        <f t="shared" si="5"/>
        <v>16</v>
      </c>
      <c r="D79" s="85">
        <f t="shared" si="6"/>
        <v>14</v>
      </c>
      <c r="E79" s="85">
        <f t="shared" si="7"/>
        <v>13</v>
      </c>
      <c r="F79" s="85" t="str">
        <f t="shared" si="8"/>
        <v>crx</v>
      </c>
      <c r="G79" s="85" t="s">
        <v>578</v>
      </c>
      <c r="H79" s="85" t="s">
        <v>579</v>
      </c>
      <c r="I79" s="85" t="s">
        <v>580</v>
      </c>
      <c r="K79" s="86">
        <f t="shared" si="9"/>
        <v>2000</v>
      </c>
      <c r="M79" s="86">
        <v>2000</v>
      </c>
    </row>
    <row r="80" spans="1:17" x14ac:dyDescent="0.3">
      <c r="A80" s="85">
        <v>1</v>
      </c>
      <c r="C80" s="85">
        <f t="shared" si="5"/>
        <v>17</v>
      </c>
      <c r="D80" s="85">
        <f t="shared" si="6"/>
        <v>14</v>
      </c>
      <c r="E80" s="85">
        <f t="shared" si="7"/>
        <v>13</v>
      </c>
      <c r="F80" s="85" t="str">
        <f t="shared" si="8"/>
        <v>sox</v>
      </c>
      <c r="G80" s="85" t="s">
        <v>581</v>
      </c>
      <c r="H80" s="85" t="s">
        <v>582</v>
      </c>
      <c r="I80" s="85" t="s">
        <v>583</v>
      </c>
      <c r="K80" s="86">
        <f t="shared" si="9"/>
        <v>2000</v>
      </c>
      <c r="M80" s="86">
        <v>2000</v>
      </c>
    </row>
    <row r="81" spans="1:18" x14ac:dyDescent="0.3">
      <c r="A81" s="85">
        <v>6</v>
      </c>
      <c r="C81" s="85">
        <f t="shared" si="5"/>
        <v>18</v>
      </c>
      <c r="D81" s="85">
        <f t="shared" si="6"/>
        <v>18</v>
      </c>
      <c r="E81" s="85">
        <f t="shared" si="7"/>
        <v>13</v>
      </c>
      <c r="F81" s="85" t="str">
        <f t="shared" si="8"/>
        <v>pm</v>
      </c>
      <c r="G81" s="85" t="s">
        <v>221</v>
      </c>
      <c r="H81" s="85" t="s">
        <v>167</v>
      </c>
      <c r="I81" s="85" t="s">
        <v>584</v>
      </c>
      <c r="K81" s="86">
        <f t="shared" si="9"/>
        <v>2025.0360399606554</v>
      </c>
      <c r="M81" s="86">
        <v>1966.6666666666667</v>
      </c>
      <c r="Q81" s="85">
        <v>2025.0360399606554</v>
      </c>
    </row>
    <row r="82" spans="1:18" x14ac:dyDescent="0.3">
      <c r="A82" s="85">
        <v>4</v>
      </c>
      <c r="C82" s="85">
        <f t="shared" si="5"/>
        <v>19</v>
      </c>
      <c r="D82" s="85">
        <f t="shared" si="6"/>
        <v>19</v>
      </c>
      <c r="E82" s="85">
        <f t="shared" si="7"/>
        <v>13</v>
      </c>
      <c r="F82" s="85" t="str">
        <f t="shared" si="8"/>
        <v>pm</v>
      </c>
      <c r="G82" s="85" t="s">
        <v>223</v>
      </c>
      <c r="H82" s="85" t="s">
        <v>163</v>
      </c>
      <c r="I82" s="85" t="s">
        <v>585</v>
      </c>
      <c r="K82" s="86">
        <f t="shared" si="9"/>
        <v>1905.475974080126</v>
      </c>
      <c r="M82" s="86">
        <v>1900</v>
      </c>
      <c r="Q82" s="85">
        <v>1905.475974080126</v>
      </c>
    </row>
    <row r="83" spans="1:18" x14ac:dyDescent="0.3">
      <c r="A83" s="85">
        <v>3</v>
      </c>
      <c r="C83" s="85">
        <f t="shared" si="5"/>
        <v>20</v>
      </c>
      <c r="D83" s="85">
        <f t="shared" si="6"/>
        <v>20</v>
      </c>
      <c r="E83" s="85">
        <f t="shared" si="7"/>
        <v>13</v>
      </c>
      <c r="F83" s="85" t="str">
        <f t="shared" si="8"/>
        <v>pm</v>
      </c>
      <c r="G83" s="85" t="s">
        <v>225</v>
      </c>
      <c r="H83" s="85" t="s">
        <v>497</v>
      </c>
      <c r="I83" s="85" t="s">
        <v>586</v>
      </c>
      <c r="K83" s="86">
        <f t="shared" si="9"/>
        <v>1831.4752155443539</v>
      </c>
      <c r="M83" s="86">
        <v>1866.6666666666667</v>
      </c>
      <c r="P83" s="85">
        <v>1879.0445986616371</v>
      </c>
      <c r="R83" s="85">
        <v>1831.4752155443539</v>
      </c>
    </row>
    <row r="84" spans="1:18" x14ac:dyDescent="0.3">
      <c r="A84" s="85">
        <v>3</v>
      </c>
      <c r="C84" s="85">
        <f t="shared" si="5"/>
        <v>21</v>
      </c>
      <c r="D84" s="85">
        <f t="shared" si="6"/>
        <v>21</v>
      </c>
      <c r="E84" s="85">
        <f t="shared" si="7"/>
        <v>13</v>
      </c>
      <c r="F84" s="85" t="str">
        <f t="shared" si="8"/>
        <v>so</v>
      </c>
      <c r="G84" s="85" t="s">
        <v>587</v>
      </c>
      <c r="H84" s="85" t="s">
        <v>588</v>
      </c>
      <c r="I84" s="85" t="s">
        <v>436</v>
      </c>
      <c r="K84" s="86">
        <f t="shared" si="9"/>
        <v>1732.406816864474</v>
      </c>
      <c r="M84" s="86">
        <v>1733.3333333333333</v>
      </c>
      <c r="P84" s="85">
        <v>1732.406816864474</v>
      </c>
    </row>
    <row r="85" spans="1:18" x14ac:dyDescent="0.3">
      <c r="A85" s="85">
        <v>4</v>
      </c>
      <c r="C85" s="85">
        <f t="shared" si="5"/>
        <v>22</v>
      </c>
      <c r="D85" s="85">
        <f t="shared" si="6"/>
        <v>22</v>
      </c>
      <c r="E85" s="85">
        <f t="shared" si="7"/>
        <v>13</v>
      </c>
      <c r="F85" s="85" t="str">
        <f t="shared" si="8"/>
        <v>pm</v>
      </c>
      <c r="G85" s="85" t="s">
        <v>589</v>
      </c>
      <c r="H85" s="85" t="s">
        <v>534</v>
      </c>
      <c r="I85" s="85" t="s">
        <v>590</v>
      </c>
      <c r="K85" s="86">
        <f t="shared" si="9"/>
        <v>1710.6470272643505</v>
      </c>
      <c r="M85" s="86">
        <v>1700</v>
      </c>
      <c r="P85" s="85">
        <v>1710.6470272643505</v>
      </c>
    </row>
    <row r="86" spans="1:18" x14ac:dyDescent="0.3">
      <c r="A86" s="85">
        <v>5</v>
      </c>
      <c r="C86" s="85">
        <f t="shared" si="5"/>
        <v>23</v>
      </c>
      <c r="D86" s="85">
        <f t="shared" si="6"/>
        <v>23</v>
      </c>
      <c r="E86" s="85">
        <f t="shared" si="7"/>
        <v>13</v>
      </c>
      <c r="F86" s="85" t="str">
        <f t="shared" si="8"/>
        <v>pm</v>
      </c>
      <c r="G86" s="85" t="s">
        <v>591</v>
      </c>
      <c r="H86" s="85" t="s">
        <v>526</v>
      </c>
      <c r="I86" s="85" t="s">
        <v>592</v>
      </c>
      <c r="K86" s="86">
        <f t="shared" si="9"/>
        <v>1844.1438298375165</v>
      </c>
      <c r="M86" s="86">
        <v>1680</v>
      </c>
      <c r="P86" s="85">
        <v>1781.2397204790218</v>
      </c>
      <c r="R86" s="85">
        <v>1844.1438298375165</v>
      </c>
    </row>
    <row r="87" spans="1:18" x14ac:dyDescent="0.3">
      <c r="A87" s="85">
        <v>1</v>
      </c>
      <c r="C87" s="85">
        <f t="shared" si="5"/>
        <v>24</v>
      </c>
      <c r="D87" s="85">
        <f t="shared" si="6"/>
        <v>24</v>
      </c>
      <c r="E87" s="85">
        <f t="shared" si="7"/>
        <v>13</v>
      </c>
      <c r="F87" s="85" t="str">
        <f t="shared" si="8"/>
        <v>pmx</v>
      </c>
      <c r="G87" s="85" t="s">
        <v>593</v>
      </c>
      <c r="H87" s="85" t="s">
        <v>512</v>
      </c>
      <c r="I87" s="85" t="s">
        <v>594</v>
      </c>
      <c r="K87" s="86">
        <f t="shared" si="9"/>
        <v>1600</v>
      </c>
      <c r="M87" s="86">
        <v>1600</v>
      </c>
    </row>
    <row r="88" spans="1:18" x14ac:dyDescent="0.3">
      <c r="A88" s="85">
        <v>3</v>
      </c>
      <c r="C88" s="85">
        <f t="shared" si="5"/>
        <v>25</v>
      </c>
      <c r="D88" s="85">
        <f t="shared" si="6"/>
        <v>25</v>
      </c>
      <c r="E88" s="85">
        <f t="shared" si="7"/>
        <v>13</v>
      </c>
      <c r="F88" s="85" t="str">
        <f t="shared" si="8"/>
        <v>pm</v>
      </c>
      <c r="G88" s="85" t="s">
        <v>208</v>
      </c>
      <c r="H88" s="85" t="s">
        <v>144</v>
      </c>
      <c r="I88" s="85" t="s">
        <v>227</v>
      </c>
      <c r="K88" s="86">
        <f t="shared" si="9"/>
        <v>1724.4275462175704</v>
      </c>
      <c r="M88" s="86">
        <v>1600</v>
      </c>
      <c r="N88" s="85">
        <v>1734.5689277635004</v>
      </c>
      <c r="P88" s="85">
        <v>1724.4275462175704</v>
      </c>
    </row>
    <row r="89" spans="1:18" x14ac:dyDescent="0.3">
      <c r="A89" s="85">
        <v>3</v>
      </c>
      <c r="C89" s="85">
        <f t="shared" si="5"/>
        <v>26</v>
      </c>
      <c r="D89" s="85">
        <f t="shared" si="6"/>
        <v>26</v>
      </c>
      <c r="E89" s="85">
        <f t="shared" si="7"/>
        <v>13</v>
      </c>
      <c r="F89" s="85" t="str">
        <f t="shared" si="8"/>
        <v>pm</v>
      </c>
      <c r="G89" s="85" t="s">
        <v>209</v>
      </c>
      <c r="H89" s="85" t="s">
        <v>144</v>
      </c>
      <c r="I89" s="85" t="s">
        <v>595</v>
      </c>
      <c r="K89" s="86">
        <f t="shared" si="9"/>
        <v>1675.5610946866284</v>
      </c>
      <c r="M89" s="86">
        <v>1600</v>
      </c>
      <c r="P89" s="85">
        <v>1675.5610946866284</v>
      </c>
    </row>
    <row r="90" spans="1:18" x14ac:dyDescent="0.3">
      <c r="A90" s="85">
        <v>3</v>
      </c>
      <c r="C90" s="85">
        <f t="shared" si="5"/>
        <v>27</v>
      </c>
      <c r="D90" s="85">
        <f t="shared" si="6"/>
        <v>27</v>
      </c>
      <c r="E90" s="85">
        <f t="shared" si="7"/>
        <v>13</v>
      </c>
      <c r="F90" s="85" t="str">
        <f t="shared" si="8"/>
        <v>pm</v>
      </c>
      <c r="G90" s="85" t="s">
        <v>226</v>
      </c>
      <c r="H90" s="85" t="s">
        <v>144</v>
      </c>
      <c r="I90" s="85" t="s">
        <v>596</v>
      </c>
      <c r="K90" s="86">
        <f t="shared" si="9"/>
        <v>1607.7647501108029</v>
      </c>
      <c r="M90" s="86">
        <v>1600</v>
      </c>
      <c r="P90" s="85">
        <v>1607.7647501108029</v>
      </c>
    </row>
    <row r="91" spans="1:18" x14ac:dyDescent="0.3">
      <c r="A91" s="85">
        <v>4</v>
      </c>
      <c r="C91" s="85">
        <f t="shared" si="5"/>
        <v>28</v>
      </c>
      <c r="D91" s="85">
        <f t="shared" si="6"/>
        <v>28</v>
      </c>
      <c r="E91" s="85">
        <f t="shared" si="7"/>
        <v>13</v>
      </c>
      <c r="F91" s="85" t="str">
        <f t="shared" si="8"/>
        <v>pm</v>
      </c>
      <c r="G91" s="85" t="s">
        <v>597</v>
      </c>
      <c r="H91" s="85" t="s">
        <v>519</v>
      </c>
      <c r="I91" s="85" t="s">
        <v>598</v>
      </c>
      <c r="K91" s="86">
        <f t="shared" si="9"/>
        <v>1604.0521466293651</v>
      </c>
      <c r="M91" s="86">
        <v>1600</v>
      </c>
      <c r="R91" s="85">
        <v>1604.0521466293651</v>
      </c>
    </row>
    <row r="92" spans="1:18" x14ac:dyDescent="0.3">
      <c r="A92" s="85">
        <v>5</v>
      </c>
      <c r="C92" s="85">
        <f t="shared" si="5"/>
        <v>29</v>
      </c>
      <c r="D92" s="85">
        <f t="shared" si="6"/>
        <v>29</v>
      </c>
      <c r="E92" s="85">
        <f t="shared" si="7"/>
        <v>13</v>
      </c>
      <c r="F92" s="85" t="str">
        <f t="shared" si="8"/>
        <v>pm</v>
      </c>
      <c r="G92" s="85" t="s">
        <v>599</v>
      </c>
      <c r="H92" s="85" t="s">
        <v>522</v>
      </c>
      <c r="I92" s="85" t="s">
        <v>600</v>
      </c>
      <c r="K92" s="86">
        <f t="shared" si="9"/>
        <v>1694.3212755101226</v>
      </c>
      <c r="M92" s="86">
        <v>1600</v>
      </c>
      <c r="P92" s="85">
        <v>1590.7715876195714</v>
      </c>
      <c r="R92" s="85">
        <v>1694.3212755101226</v>
      </c>
    </row>
    <row r="93" spans="1:18" x14ac:dyDescent="0.3">
      <c r="A93" s="85">
        <v>5</v>
      </c>
      <c r="C93" s="85">
        <f t="shared" si="5"/>
        <v>30</v>
      </c>
      <c r="D93" s="85">
        <f t="shared" si="6"/>
        <v>30</v>
      </c>
      <c r="E93" s="85">
        <f t="shared" si="7"/>
        <v>13</v>
      </c>
      <c r="F93" s="85" t="str">
        <f t="shared" si="8"/>
        <v>pm</v>
      </c>
      <c r="G93" s="85" t="s">
        <v>210</v>
      </c>
      <c r="H93" s="85" t="s">
        <v>175</v>
      </c>
      <c r="I93" s="85" t="s">
        <v>601</v>
      </c>
      <c r="K93" s="86">
        <f t="shared" si="9"/>
        <v>1714.4274743770873</v>
      </c>
      <c r="M93" s="86">
        <v>1600</v>
      </c>
      <c r="N93" s="85">
        <v>1703.6510057867774</v>
      </c>
      <c r="P93" s="85">
        <v>1714.4274743770873</v>
      </c>
    </row>
    <row r="94" spans="1:18" x14ac:dyDescent="0.3">
      <c r="A94" s="85">
        <v>4</v>
      </c>
      <c r="C94" s="85">
        <f t="shared" si="5"/>
        <v>31</v>
      </c>
      <c r="D94" s="85">
        <f t="shared" si="6"/>
        <v>31</v>
      </c>
      <c r="E94" s="85">
        <f t="shared" si="7"/>
        <v>13</v>
      </c>
      <c r="F94" s="85" t="str">
        <f t="shared" si="8"/>
        <v>pm</v>
      </c>
      <c r="G94" s="85" t="s">
        <v>228</v>
      </c>
      <c r="H94" s="85" t="s">
        <v>175</v>
      </c>
      <c r="I94" s="85" t="s">
        <v>602</v>
      </c>
      <c r="K94" s="86">
        <f t="shared" si="9"/>
        <v>1717.3090759057159</v>
      </c>
      <c r="M94" s="86">
        <v>1600</v>
      </c>
      <c r="P94" s="85">
        <v>1717.3090759057159</v>
      </c>
    </row>
    <row r="95" spans="1:18" x14ac:dyDescent="0.3">
      <c r="A95" s="85">
        <v>6</v>
      </c>
      <c r="C95" s="85">
        <f t="shared" si="5"/>
        <v>32</v>
      </c>
      <c r="D95" s="85">
        <f t="shared" si="6"/>
        <v>32</v>
      </c>
      <c r="E95" s="85">
        <f t="shared" si="7"/>
        <v>13</v>
      </c>
      <c r="F95" s="85" t="str">
        <f t="shared" si="8"/>
        <v>pm</v>
      </c>
      <c r="G95" s="85" t="s">
        <v>229</v>
      </c>
      <c r="H95" s="85" t="s">
        <v>177</v>
      </c>
      <c r="I95" s="85" t="s">
        <v>230</v>
      </c>
      <c r="K95" s="86">
        <f t="shared" si="9"/>
        <v>1610.5349292849767</v>
      </c>
      <c r="M95" s="86">
        <v>1600</v>
      </c>
      <c r="P95" s="85">
        <v>1616.737428819403</v>
      </c>
      <c r="R95" s="85">
        <v>1610.5349292849767</v>
      </c>
    </row>
    <row r="96" spans="1:18" x14ac:dyDescent="0.3">
      <c r="A96" s="85">
        <v>4</v>
      </c>
      <c r="C96" s="85">
        <f t="shared" si="5"/>
        <v>33</v>
      </c>
      <c r="D96" s="85">
        <f t="shared" si="6"/>
        <v>33</v>
      </c>
      <c r="E96" s="85">
        <f t="shared" si="7"/>
        <v>13</v>
      </c>
      <c r="F96" s="85" t="str">
        <f t="shared" si="8"/>
        <v>pm</v>
      </c>
      <c r="G96" s="85" t="s">
        <v>603</v>
      </c>
      <c r="H96" s="85" t="s">
        <v>177</v>
      </c>
      <c r="I96" s="85" t="s">
        <v>604</v>
      </c>
      <c r="K96" s="86">
        <f t="shared" si="9"/>
        <v>1555.8084352413171</v>
      </c>
      <c r="M96" s="86">
        <v>1600</v>
      </c>
      <c r="P96" s="85">
        <v>1547.9196897344852</v>
      </c>
      <c r="R96" s="85">
        <v>1555.8084352413171</v>
      </c>
    </row>
    <row r="97" spans="1:18" x14ac:dyDescent="0.3">
      <c r="A97" s="85">
        <v>4</v>
      </c>
      <c r="C97" s="85">
        <f t="shared" si="5"/>
        <v>34</v>
      </c>
      <c r="D97" s="85">
        <f t="shared" si="6"/>
        <v>34</v>
      </c>
      <c r="E97" s="85">
        <f t="shared" si="7"/>
        <v>13</v>
      </c>
      <c r="F97" s="85" t="str">
        <f t="shared" si="8"/>
        <v>pm</v>
      </c>
      <c r="G97" s="85" t="s">
        <v>605</v>
      </c>
      <c r="H97" s="85" t="s">
        <v>606</v>
      </c>
      <c r="I97" s="85" t="s">
        <v>607</v>
      </c>
      <c r="K97" s="86">
        <f t="shared" si="9"/>
        <v>1579.8660708915113</v>
      </c>
      <c r="M97" s="86">
        <v>1600</v>
      </c>
      <c r="P97" s="85">
        <v>1579.8660708915113</v>
      </c>
    </row>
    <row r="98" spans="1:18" x14ac:dyDescent="0.3">
      <c r="A98" s="85">
        <v>3</v>
      </c>
      <c r="C98" s="85">
        <f t="shared" si="5"/>
        <v>35</v>
      </c>
      <c r="D98" s="85">
        <f t="shared" si="6"/>
        <v>35</v>
      </c>
      <c r="E98" s="85">
        <f t="shared" si="7"/>
        <v>13</v>
      </c>
      <c r="F98" s="85" t="str">
        <f t="shared" si="8"/>
        <v>pm</v>
      </c>
      <c r="G98" s="85" t="s">
        <v>231</v>
      </c>
      <c r="H98" s="85" t="s">
        <v>182</v>
      </c>
      <c r="I98" s="85" t="s">
        <v>608</v>
      </c>
      <c r="K98" s="86">
        <f t="shared" si="9"/>
        <v>1701.1184058676397</v>
      </c>
      <c r="M98" s="86">
        <v>1600</v>
      </c>
      <c r="R98" s="85">
        <v>1701.1184058676397</v>
      </c>
    </row>
    <row r="99" spans="1:18" x14ac:dyDescent="0.3">
      <c r="A99" s="85">
        <v>7</v>
      </c>
      <c r="C99" s="85">
        <f t="shared" si="5"/>
        <v>36</v>
      </c>
      <c r="D99" s="85">
        <f t="shared" si="6"/>
        <v>36</v>
      </c>
      <c r="E99" s="85">
        <f t="shared" si="7"/>
        <v>13</v>
      </c>
      <c r="F99" s="85" t="str">
        <f t="shared" si="8"/>
        <v>pm</v>
      </c>
      <c r="G99" s="85" t="s">
        <v>609</v>
      </c>
      <c r="H99" s="85" t="s">
        <v>342</v>
      </c>
      <c r="I99" s="85" t="s">
        <v>610</v>
      </c>
      <c r="K99" s="86">
        <f t="shared" si="9"/>
        <v>1423.4626944365991</v>
      </c>
      <c r="M99" s="86">
        <v>1600</v>
      </c>
      <c r="N99" s="85">
        <v>1534.3498710699218</v>
      </c>
      <c r="P99" s="85">
        <v>1451.1605393968732</v>
      </c>
      <c r="R99" s="85">
        <v>1423.4626944365991</v>
      </c>
    </row>
    <row r="100" spans="1:18" x14ac:dyDescent="0.3">
      <c r="A100" s="85">
        <v>6</v>
      </c>
      <c r="C100" s="85">
        <f t="shared" si="5"/>
        <v>37</v>
      </c>
      <c r="D100" s="85">
        <f t="shared" si="6"/>
        <v>37</v>
      </c>
      <c r="E100" s="85">
        <f t="shared" si="7"/>
        <v>13</v>
      </c>
      <c r="F100" s="85" t="str">
        <f t="shared" si="8"/>
        <v>pm</v>
      </c>
      <c r="G100" s="85" t="s">
        <v>234</v>
      </c>
      <c r="H100" s="85" t="s">
        <v>186</v>
      </c>
      <c r="I100" s="85" t="s">
        <v>611</v>
      </c>
      <c r="K100" s="86">
        <f t="shared" si="9"/>
        <v>1545.4675568325963</v>
      </c>
      <c r="M100" s="86">
        <v>1600</v>
      </c>
      <c r="P100" s="85">
        <v>1533.7444995390174</v>
      </c>
      <c r="R100" s="85">
        <v>1545.4675568325963</v>
      </c>
    </row>
    <row r="101" spans="1:18" x14ac:dyDescent="0.3">
      <c r="A101" s="85">
        <v>6</v>
      </c>
      <c r="C101" s="85">
        <f t="shared" si="5"/>
        <v>38</v>
      </c>
      <c r="D101" s="85">
        <f t="shared" si="6"/>
        <v>38</v>
      </c>
      <c r="E101" s="85">
        <f t="shared" si="7"/>
        <v>13</v>
      </c>
      <c r="F101" s="85" t="str">
        <f t="shared" si="8"/>
        <v>pm</v>
      </c>
      <c r="G101" s="85" t="s">
        <v>612</v>
      </c>
      <c r="H101" s="85" t="s">
        <v>186</v>
      </c>
      <c r="I101" s="85" t="s">
        <v>613</v>
      </c>
      <c r="K101" s="86">
        <f t="shared" si="9"/>
        <v>1520.4251338639951</v>
      </c>
      <c r="M101" s="86">
        <v>1600</v>
      </c>
      <c r="P101" s="85">
        <v>1597.3879142967439</v>
      </c>
      <c r="R101" s="85">
        <v>1520.4251338639951</v>
      </c>
    </row>
    <row r="102" spans="1:18" x14ac:dyDescent="0.3">
      <c r="A102" s="85">
        <v>6</v>
      </c>
      <c r="C102" s="85">
        <f t="shared" si="5"/>
        <v>39</v>
      </c>
      <c r="D102" s="85">
        <f t="shared" si="6"/>
        <v>39</v>
      </c>
      <c r="E102" s="85">
        <f t="shared" si="7"/>
        <v>13</v>
      </c>
      <c r="F102" s="85" t="str">
        <f t="shared" si="8"/>
        <v>pm</v>
      </c>
      <c r="G102" s="85" t="s">
        <v>614</v>
      </c>
      <c r="H102" s="85" t="s">
        <v>186</v>
      </c>
      <c r="I102" s="85" t="s">
        <v>615</v>
      </c>
      <c r="K102" s="86">
        <f t="shared" si="9"/>
        <v>1602.9871441486005</v>
      </c>
      <c r="M102" s="86">
        <v>1600</v>
      </c>
      <c r="P102" s="85">
        <v>1648.4137496847168</v>
      </c>
      <c r="R102" s="85">
        <v>1602.9871441486005</v>
      </c>
    </row>
    <row r="103" spans="1:18" x14ac:dyDescent="0.3">
      <c r="A103" s="85">
        <v>6</v>
      </c>
      <c r="C103" s="85">
        <f t="shared" si="5"/>
        <v>40</v>
      </c>
      <c r="D103" s="85">
        <f t="shared" si="6"/>
        <v>40</v>
      </c>
      <c r="E103" s="85">
        <f t="shared" si="7"/>
        <v>13</v>
      </c>
      <c r="F103" s="85" t="str">
        <f t="shared" si="8"/>
        <v>pm</v>
      </c>
      <c r="G103" s="85" t="s">
        <v>616</v>
      </c>
      <c r="H103" s="85" t="s">
        <v>186</v>
      </c>
      <c r="I103" s="85" t="s">
        <v>617</v>
      </c>
      <c r="K103" s="86">
        <f t="shared" si="9"/>
        <v>1553.5745846398738</v>
      </c>
      <c r="M103" s="86">
        <v>1600</v>
      </c>
      <c r="P103" s="85">
        <v>1620.996700650938</v>
      </c>
      <c r="R103" s="85">
        <v>1553.5745846398738</v>
      </c>
    </row>
    <row r="104" spans="1:18" x14ac:dyDescent="0.3">
      <c r="A104" s="85">
        <v>3</v>
      </c>
      <c r="C104" s="85">
        <f t="shared" si="5"/>
        <v>41</v>
      </c>
      <c r="D104" s="85">
        <f t="shared" si="6"/>
        <v>41</v>
      </c>
      <c r="E104" s="85">
        <f t="shared" si="7"/>
        <v>13</v>
      </c>
      <c r="F104" s="85" t="str">
        <f t="shared" si="8"/>
        <v>pm</v>
      </c>
      <c r="G104" s="85" t="s">
        <v>618</v>
      </c>
      <c r="H104" s="85" t="s">
        <v>204</v>
      </c>
      <c r="I104" s="85" t="s">
        <v>619</v>
      </c>
      <c r="K104" s="86">
        <f t="shared" si="9"/>
        <v>1571.9721224993891</v>
      </c>
      <c r="M104" s="86">
        <v>1600</v>
      </c>
      <c r="R104" s="85">
        <v>1571.9721224993891</v>
      </c>
    </row>
    <row r="105" spans="1:18" x14ac:dyDescent="0.3">
      <c r="A105" s="85">
        <v>7</v>
      </c>
      <c r="C105" s="85">
        <f t="shared" si="5"/>
        <v>42</v>
      </c>
      <c r="D105" s="85">
        <f t="shared" si="6"/>
        <v>42</v>
      </c>
      <c r="E105" s="85">
        <f t="shared" si="7"/>
        <v>13</v>
      </c>
      <c r="F105" s="85" t="str">
        <f t="shared" si="8"/>
        <v>pm</v>
      </c>
      <c r="G105" s="85" t="s">
        <v>620</v>
      </c>
      <c r="H105" s="85" t="s">
        <v>153</v>
      </c>
      <c r="I105" s="85" t="s">
        <v>621</v>
      </c>
      <c r="K105" s="86">
        <f t="shared" si="9"/>
        <v>1683.7707191504878</v>
      </c>
      <c r="M105" s="86">
        <v>1600</v>
      </c>
      <c r="N105" s="85">
        <v>1633.4553905753462</v>
      </c>
      <c r="P105" s="85">
        <v>1598.9138359307153</v>
      </c>
      <c r="R105" s="85">
        <v>1683.7707191504878</v>
      </c>
    </row>
    <row r="106" spans="1:18" x14ac:dyDescent="0.3">
      <c r="A106" s="85">
        <v>3</v>
      </c>
      <c r="C106" s="85">
        <f t="shared" si="5"/>
        <v>43</v>
      </c>
      <c r="D106" s="85">
        <f t="shared" si="6"/>
        <v>43</v>
      </c>
      <c r="E106" s="85">
        <f t="shared" si="7"/>
        <v>13</v>
      </c>
      <c r="F106" s="85" t="str">
        <f t="shared" si="8"/>
        <v>pm</v>
      </c>
      <c r="G106" s="85" t="s">
        <v>622</v>
      </c>
      <c r="H106" s="85" t="s">
        <v>163</v>
      </c>
      <c r="I106" s="85" t="s">
        <v>623</v>
      </c>
      <c r="K106" s="86">
        <f t="shared" si="9"/>
        <v>1624.5609294988997</v>
      </c>
      <c r="M106" s="86">
        <v>1600</v>
      </c>
      <c r="P106" s="85">
        <v>1624.5609294988997</v>
      </c>
    </row>
    <row r="107" spans="1:18" x14ac:dyDescent="0.3">
      <c r="A107" s="85">
        <v>6</v>
      </c>
      <c r="C107" s="85">
        <f t="shared" si="5"/>
        <v>44</v>
      </c>
      <c r="D107" s="85">
        <f t="shared" si="6"/>
        <v>44</v>
      </c>
      <c r="E107" s="85">
        <f t="shared" si="7"/>
        <v>13</v>
      </c>
      <c r="F107" s="85" t="str">
        <f t="shared" si="8"/>
        <v>pm</v>
      </c>
      <c r="G107" s="85" t="s">
        <v>239</v>
      </c>
      <c r="H107" s="85" t="s">
        <v>167</v>
      </c>
      <c r="I107" s="85" t="s">
        <v>238</v>
      </c>
      <c r="K107" s="86">
        <f t="shared" si="9"/>
        <v>1572.8096018157437</v>
      </c>
      <c r="M107" s="86">
        <v>1600</v>
      </c>
      <c r="P107" s="85">
        <v>1573.3453296849921</v>
      </c>
      <c r="R107" s="85">
        <v>1572.8096018157437</v>
      </c>
    </row>
    <row r="108" spans="1:18" x14ac:dyDescent="0.3">
      <c r="A108" s="85">
        <v>6</v>
      </c>
      <c r="C108" s="85">
        <f t="shared" si="5"/>
        <v>45</v>
      </c>
      <c r="D108" s="85">
        <f t="shared" si="6"/>
        <v>45</v>
      </c>
      <c r="E108" s="85">
        <f t="shared" si="7"/>
        <v>13</v>
      </c>
      <c r="F108" s="85" t="str">
        <f t="shared" si="8"/>
        <v>pm</v>
      </c>
      <c r="G108" s="85" t="s">
        <v>624</v>
      </c>
      <c r="H108" s="85" t="s">
        <v>167</v>
      </c>
      <c r="I108" s="85" t="s">
        <v>240</v>
      </c>
      <c r="K108" s="86">
        <f t="shared" si="9"/>
        <v>1537.5405912044225</v>
      </c>
      <c r="M108" s="86">
        <v>1600</v>
      </c>
      <c r="P108" s="85">
        <v>1517.3416472478507</v>
      </c>
      <c r="R108" s="85">
        <v>1537.5405912044225</v>
      </c>
    </row>
    <row r="109" spans="1:18" x14ac:dyDescent="0.3">
      <c r="A109" s="85">
        <v>5</v>
      </c>
      <c r="C109" s="85">
        <f t="shared" si="5"/>
        <v>46</v>
      </c>
      <c r="D109" s="85">
        <f t="shared" si="6"/>
        <v>46</v>
      </c>
      <c r="E109" s="85">
        <f t="shared" si="7"/>
        <v>13</v>
      </c>
      <c r="F109" s="85" t="str">
        <f t="shared" si="8"/>
        <v>pm</v>
      </c>
      <c r="G109" s="85" t="s">
        <v>241</v>
      </c>
      <c r="H109" s="85" t="s">
        <v>242</v>
      </c>
      <c r="I109" s="85" t="s">
        <v>625</v>
      </c>
      <c r="K109" s="86">
        <f t="shared" si="9"/>
        <v>1456.2733865021585</v>
      </c>
      <c r="M109" s="86">
        <v>1600</v>
      </c>
      <c r="P109" s="85">
        <v>1519.0582184667064</v>
      </c>
      <c r="R109" s="85">
        <v>1456.2733865021585</v>
      </c>
    </row>
    <row r="110" spans="1:18" x14ac:dyDescent="0.3">
      <c r="A110" s="85">
        <v>3</v>
      </c>
      <c r="C110" s="85">
        <f t="shared" si="5"/>
        <v>47</v>
      </c>
      <c r="D110" s="85">
        <f t="shared" si="6"/>
        <v>47</v>
      </c>
      <c r="E110" s="85">
        <f t="shared" si="7"/>
        <v>13</v>
      </c>
      <c r="F110" s="85" t="str">
        <f t="shared" si="8"/>
        <v>cr</v>
      </c>
      <c r="G110" s="85" t="s">
        <v>429</v>
      </c>
      <c r="H110" s="85" t="s">
        <v>495</v>
      </c>
      <c r="I110" s="85" t="s">
        <v>430</v>
      </c>
      <c r="K110" s="86">
        <f t="shared" si="9"/>
        <v>1661.5665624514031</v>
      </c>
      <c r="M110" s="86">
        <v>1600</v>
      </c>
      <c r="P110" s="85">
        <v>1661.5665624514031</v>
      </c>
    </row>
    <row r="111" spans="1:18" x14ac:dyDescent="0.3">
      <c r="A111" s="85">
        <v>3</v>
      </c>
      <c r="C111" s="85">
        <f t="shared" si="5"/>
        <v>48</v>
      </c>
      <c r="D111" s="85">
        <f t="shared" si="6"/>
        <v>48</v>
      </c>
      <c r="E111" s="85">
        <f t="shared" si="7"/>
        <v>13</v>
      </c>
      <c r="F111" s="85" t="str">
        <f t="shared" si="8"/>
        <v>cr</v>
      </c>
      <c r="G111" s="85" t="s">
        <v>434</v>
      </c>
      <c r="H111" s="85" t="s">
        <v>495</v>
      </c>
      <c r="I111" s="85" t="s">
        <v>435</v>
      </c>
      <c r="K111" s="86">
        <f t="shared" si="9"/>
        <v>1559.6889762457713</v>
      </c>
      <c r="M111" s="86">
        <v>1600</v>
      </c>
      <c r="P111" s="85">
        <v>1559.6889762457713</v>
      </c>
    </row>
    <row r="112" spans="1:18" x14ac:dyDescent="0.3">
      <c r="A112" s="85">
        <v>3</v>
      </c>
      <c r="C112" s="85">
        <f t="shared" si="5"/>
        <v>49</v>
      </c>
      <c r="D112" s="85">
        <f t="shared" si="6"/>
        <v>49</v>
      </c>
      <c r="E112" s="85">
        <f t="shared" si="7"/>
        <v>13</v>
      </c>
      <c r="F112" s="85" t="str">
        <f t="shared" si="8"/>
        <v>cr</v>
      </c>
      <c r="G112" s="85" t="s">
        <v>431</v>
      </c>
      <c r="H112" s="85" t="s">
        <v>495</v>
      </c>
      <c r="I112" s="85" t="s">
        <v>432</v>
      </c>
      <c r="K112" s="86">
        <f t="shared" si="9"/>
        <v>1511.3897934488341</v>
      </c>
      <c r="M112" s="86">
        <v>1600</v>
      </c>
      <c r="P112" s="85">
        <v>1511.3897934488341</v>
      </c>
    </row>
    <row r="113" spans="1:18" x14ac:dyDescent="0.3">
      <c r="A113" s="85">
        <v>1</v>
      </c>
      <c r="C113" s="85">
        <f t="shared" si="5"/>
        <v>50</v>
      </c>
      <c r="D113" s="85">
        <f t="shared" si="6"/>
        <v>50</v>
      </c>
      <c r="E113" s="85">
        <f t="shared" si="7"/>
        <v>13</v>
      </c>
      <c r="F113" s="85" t="str">
        <f t="shared" si="8"/>
        <v>crx</v>
      </c>
      <c r="G113" s="85" t="s">
        <v>444</v>
      </c>
      <c r="H113" s="85" t="s">
        <v>546</v>
      </c>
      <c r="I113" s="85" t="s">
        <v>626</v>
      </c>
      <c r="K113" s="86">
        <f t="shared" si="9"/>
        <v>1660.2940034477117</v>
      </c>
      <c r="M113" s="86">
        <v>1600</v>
      </c>
      <c r="P113" s="85">
        <v>1660.2940034477117</v>
      </c>
    </row>
    <row r="114" spans="1:18" x14ac:dyDescent="0.3">
      <c r="A114" s="85">
        <v>3</v>
      </c>
      <c r="C114" s="85">
        <f t="shared" si="5"/>
        <v>51</v>
      </c>
      <c r="D114" s="85">
        <f t="shared" si="6"/>
        <v>51</v>
      </c>
      <c r="E114" s="85">
        <f t="shared" si="7"/>
        <v>13</v>
      </c>
      <c r="F114" s="85" t="str">
        <f t="shared" si="8"/>
        <v>cr</v>
      </c>
      <c r="G114" s="85" t="s">
        <v>627</v>
      </c>
      <c r="H114" s="85" t="s">
        <v>628</v>
      </c>
      <c r="I114" s="85" t="s">
        <v>629</v>
      </c>
      <c r="K114" s="86">
        <f t="shared" si="9"/>
        <v>1598.4807731004059</v>
      </c>
      <c r="M114" s="86">
        <v>1600</v>
      </c>
      <c r="R114" s="85">
        <v>1598.4807731004059</v>
      </c>
    </row>
    <row r="115" spans="1:18" x14ac:dyDescent="0.3">
      <c r="A115" s="85">
        <v>1</v>
      </c>
      <c r="C115" s="85">
        <f t="shared" si="5"/>
        <v>52</v>
      </c>
      <c r="D115" s="85">
        <f t="shared" si="6"/>
        <v>52</v>
      </c>
      <c r="E115" s="85">
        <f t="shared" si="7"/>
        <v>13</v>
      </c>
      <c r="F115" s="85" t="str">
        <f t="shared" si="8"/>
        <v>sox</v>
      </c>
      <c r="G115" s="85" t="s">
        <v>630</v>
      </c>
      <c r="H115" s="85" t="s">
        <v>582</v>
      </c>
      <c r="I115" s="85" t="s">
        <v>631</v>
      </c>
      <c r="K115" s="86">
        <f t="shared" si="9"/>
        <v>1600</v>
      </c>
      <c r="M115" s="86">
        <v>1600</v>
      </c>
    </row>
    <row r="116" spans="1:18" x14ac:dyDescent="0.3">
      <c r="A116" s="85">
        <v>1</v>
      </c>
      <c r="C116" s="85">
        <f t="shared" si="5"/>
        <v>53</v>
      </c>
      <c r="D116" s="85">
        <f t="shared" si="6"/>
        <v>52</v>
      </c>
      <c r="E116" s="85">
        <f t="shared" si="7"/>
        <v>13</v>
      </c>
      <c r="F116" s="85" t="str">
        <f t="shared" si="8"/>
        <v>sox</v>
      </c>
      <c r="G116" s="85" t="s">
        <v>632</v>
      </c>
      <c r="H116" s="85" t="s">
        <v>633</v>
      </c>
      <c r="I116" s="85" t="s">
        <v>433</v>
      </c>
      <c r="K116" s="86">
        <f t="shared" si="9"/>
        <v>1600</v>
      </c>
      <c r="M116" s="86">
        <v>1600</v>
      </c>
    </row>
    <row r="117" spans="1:18" x14ac:dyDescent="0.3">
      <c r="A117" s="85">
        <v>4</v>
      </c>
      <c r="C117" s="85">
        <f t="shared" si="5"/>
        <v>1</v>
      </c>
      <c r="D117" s="85">
        <f t="shared" si="6"/>
        <v>1</v>
      </c>
      <c r="E117" s="85">
        <f t="shared" si="7"/>
        <v>14</v>
      </c>
      <c r="F117" s="85" t="str">
        <f t="shared" si="8"/>
        <v>pm</v>
      </c>
      <c r="G117" s="85" t="s">
        <v>245</v>
      </c>
      <c r="H117" s="85" t="s">
        <v>144</v>
      </c>
      <c r="I117" s="85" t="s">
        <v>246</v>
      </c>
      <c r="K117" s="86">
        <f t="shared" si="9"/>
        <v>2151.3312763980157</v>
      </c>
      <c r="M117" s="86">
        <v>2200</v>
      </c>
      <c r="P117" s="85">
        <v>2151.3312763980157</v>
      </c>
    </row>
    <row r="118" spans="1:18" x14ac:dyDescent="0.3">
      <c r="A118" s="85">
        <v>4</v>
      </c>
      <c r="C118" s="85">
        <f t="shared" si="5"/>
        <v>2</v>
      </c>
      <c r="D118" s="85">
        <f t="shared" si="6"/>
        <v>2</v>
      </c>
      <c r="E118" s="85">
        <f t="shared" si="7"/>
        <v>14</v>
      </c>
      <c r="F118" s="85" t="str">
        <f t="shared" si="8"/>
        <v>pm</v>
      </c>
      <c r="G118" s="85" t="s">
        <v>282</v>
      </c>
      <c r="H118" s="85" t="s">
        <v>144</v>
      </c>
      <c r="I118" s="85" t="s">
        <v>634</v>
      </c>
      <c r="K118" s="86">
        <f t="shared" si="9"/>
        <v>2156.4076860800524</v>
      </c>
      <c r="M118" s="86">
        <v>2200</v>
      </c>
      <c r="P118" s="85">
        <v>2156.4076860800524</v>
      </c>
    </row>
    <row r="119" spans="1:18" x14ac:dyDescent="0.3">
      <c r="A119" s="85">
        <v>1</v>
      </c>
      <c r="C119" s="85">
        <f t="shared" si="5"/>
        <v>3</v>
      </c>
      <c r="D119" s="85">
        <f t="shared" si="6"/>
        <v>3</v>
      </c>
      <c r="E119" s="85">
        <f t="shared" si="7"/>
        <v>14</v>
      </c>
      <c r="F119" s="85" t="str">
        <f t="shared" si="8"/>
        <v>pmx</v>
      </c>
      <c r="G119" s="85" t="s">
        <v>247</v>
      </c>
      <c r="H119" s="85" t="s">
        <v>175</v>
      </c>
      <c r="I119" s="85" t="s">
        <v>635</v>
      </c>
      <c r="K119" s="86">
        <f t="shared" si="9"/>
        <v>2268.5029408042979</v>
      </c>
      <c r="M119" s="86">
        <v>2200</v>
      </c>
      <c r="P119" s="85">
        <v>2268.5029408042979</v>
      </c>
    </row>
    <row r="120" spans="1:18" x14ac:dyDescent="0.3">
      <c r="A120" s="85">
        <v>3</v>
      </c>
      <c r="C120" s="85">
        <f t="shared" si="5"/>
        <v>4</v>
      </c>
      <c r="D120" s="85">
        <f t="shared" si="6"/>
        <v>4</v>
      </c>
      <c r="E120" s="85">
        <f t="shared" si="7"/>
        <v>14</v>
      </c>
      <c r="F120" s="85" t="str">
        <f t="shared" si="8"/>
        <v>pm</v>
      </c>
      <c r="G120" s="85" t="s">
        <v>288</v>
      </c>
      <c r="H120" s="85" t="s">
        <v>175</v>
      </c>
      <c r="I120" s="85" t="s">
        <v>636</v>
      </c>
      <c r="K120" s="86">
        <f t="shared" si="9"/>
        <v>2203.730133714088</v>
      </c>
      <c r="M120" s="86">
        <v>2200</v>
      </c>
      <c r="O120" s="85">
        <v>2186.0000721639085</v>
      </c>
      <c r="P120" s="85">
        <v>2203.730133714088</v>
      </c>
    </row>
    <row r="121" spans="1:18" x14ac:dyDescent="0.3">
      <c r="A121" s="85">
        <v>5</v>
      </c>
      <c r="C121" s="85">
        <f t="shared" si="5"/>
        <v>5</v>
      </c>
      <c r="D121" s="85">
        <f t="shared" si="6"/>
        <v>5</v>
      </c>
      <c r="E121" s="85">
        <f t="shared" si="7"/>
        <v>14</v>
      </c>
      <c r="F121" s="85" t="str">
        <f t="shared" si="8"/>
        <v>pm</v>
      </c>
      <c r="G121" s="85" t="s">
        <v>254</v>
      </c>
      <c r="H121" s="85" t="s">
        <v>186</v>
      </c>
      <c r="I121" s="85" t="s">
        <v>637</v>
      </c>
      <c r="K121" s="86">
        <f t="shared" si="9"/>
        <v>1995.4124922055146</v>
      </c>
      <c r="M121" s="86">
        <v>2200</v>
      </c>
      <c r="O121" s="85">
        <v>2053.0946682245371</v>
      </c>
      <c r="Q121" s="85">
        <v>1995.4124922055146</v>
      </c>
    </row>
    <row r="122" spans="1:18" x14ac:dyDescent="0.3">
      <c r="A122" s="85">
        <v>6</v>
      </c>
      <c r="C122" s="85">
        <f t="shared" si="5"/>
        <v>6</v>
      </c>
      <c r="D122" s="85">
        <f t="shared" si="6"/>
        <v>6</v>
      </c>
      <c r="E122" s="85">
        <f t="shared" si="7"/>
        <v>14</v>
      </c>
      <c r="F122" s="85" t="str">
        <f t="shared" si="8"/>
        <v>pm</v>
      </c>
      <c r="G122" s="85" t="s">
        <v>638</v>
      </c>
      <c r="H122" s="85" t="s">
        <v>416</v>
      </c>
      <c r="I122" s="85" t="s">
        <v>639</v>
      </c>
      <c r="K122" s="86">
        <f t="shared" si="9"/>
        <v>2241.891408622294</v>
      </c>
      <c r="M122" s="86">
        <v>2200</v>
      </c>
      <c r="O122" s="85">
        <v>2269.3527841117907</v>
      </c>
      <c r="P122" s="85">
        <v>2241.891408622294</v>
      </c>
    </row>
    <row r="123" spans="1:18" x14ac:dyDescent="0.3">
      <c r="A123" s="85">
        <v>2</v>
      </c>
      <c r="C123" s="85">
        <f t="shared" si="5"/>
        <v>7</v>
      </c>
      <c r="D123" s="85">
        <f t="shared" si="6"/>
        <v>7</v>
      </c>
      <c r="E123" s="85">
        <f t="shared" si="7"/>
        <v>14</v>
      </c>
      <c r="F123" s="85" t="str">
        <f t="shared" si="8"/>
        <v>pm</v>
      </c>
      <c r="G123" s="85" t="s">
        <v>257</v>
      </c>
      <c r="H123" s="85" t="s">
        <v>258</v>
      </c>
      <c r="I123" s="85" t="s">
        <v>640</v>
      </c>
      <c r="K123" s="86">
        <f t="shared" si="9"/>
        <v>2200</v>
      </c>
      <c r="M123" s="86">
        <v>2200</v>
      </c>
    </row>
    <row r="124" spans="1:18" x14ac:dyDescent="0.3">
      <c r="A124" s="85">
        <v>2</v>
      </c>
      <c r="C124" s="85">
        <f t="shared" si="5"/>
        <v>8</v>
      </c>
      <c r="D124" s="85">
        <f t="shared" si="6"/>
        <v>8</v>
      </c>
      <c r="E124" s="85">
        <f t="shared" si="7"/>
        <v>14</v>
      </c>
      <c r="F124" s="85" t="str">
        <f t="shared" si="8"/>
        <v>pm</v>
      </c>
      <c r="G124" s="85" t="s">
        <v>262</v>
      </c>
      <c r="H124" s="85" t="s">
        <v>163</v>
      </c>
      <c r="I124" s="85" t="s">
        <v>263</v>
      </c>
      <c r="K124" s="86">
        <f t="shared" si="9"/>
        <v>2207.6972005187226</v>
      </c>
      <c r="M124" s="86">
        <v>2200</v>
      </c>
      <c r="Q124" s="85">
        <v>2207.6972005187226</v>
      </c>
    </row>
    <row r="125" spans="1:18" x14ac:dyDescent="0.3">
      <c r="A125" s="85">
        <v>1</v>
      </c>
      <c r="C125" s="85">
        <f t="shared" si="5"/>
        <v>9</v>
      </c>
      <c r="D125" s="85">
        <f t="shared" si="6"/>
        <v>9</v>
      </c>
      <c r="E125" s="85">
        <f t="shared" si="7"/>
        <v>14</v>
      </c>
      <c r="F125" s="85" t="str">
        <f t="shared" si="8"/>
        <v>pmx</v>
      </c>
      <c r="G125" s="85" t="s">
        <v>264</v>
      </c>
      <c r="H125" s="85" t="s">
        <v>142</v>
      </c>
      <c r="I125" s="85" t="s">
        <v>265</v>
      </c>
      <c r="K125" s="86">
        <f t="shared" si="9"/>
        <v>2364.2115246034632</v>
      </c>
      <c r="M125" s="86">
        <v>2200</v>
      </c>
      <c r="P125" s="85">
        <v>2364.2115246034632</v>
      </c>
    </row>
    <row r="126" spans="1:18" x14ac:dyDescent="0.3">
      <c r="A126" s="85">
        <v>1</v>
      </c>
      <c r="C126" s="85">
        <f t="shared" si="5"/>
        <v>10</v>
      </c>
      <c r="D126" s="85">
        <f t="shared" si="6"/>
        <v>10</v>
      </c>
      <c r="E126" s="85">
        <f t="shared" si="7"/>
        <v>14</v>
      </c>
      <c r="F126" s="85" t="str">
        <f t="shared" si="8"/>
        <v>pmx</v>
      </c>
      <c r="G126" s="85" t="s">
        <v>641</v>
      </c>
      <c r="H126" s="85" t="s">
        <v>142</v>
      </c>
      <c r="I126" s="85" t="s">
        <v>642</v>
      </c>
      <c r="K126" s="86">
        <f t="shared" si="9"/>
        <v>2226.2504011223741</v>
      </c>
      <c r="M126" s="86">
        <v>2200</v>
      </c>
      <c r="P126" s="85">
        <v>2226.2504011223741</v>
      </c>
    </row>
    <row r="127" spans="1:18" x14ac:dyDescent="0.3">
      <c r="A127" s="85">
        <v>4</v>
      </c>
      <c r="C127" s="85">
        <f t="shared" si="5"/>
        <v>11</v>
      </c>
      <c r="D127" s="85">
        <f t="shared" si="6"/>
        <v>11</v>
      </c>
      <c r="E127" s="85">
        <f t="shared" si="7"/>
        <v>14</v>
      </c>
      <c r="F127" s="85" t="str">
        <f t="shared" si="8"/>
        <v>pm</v>
      </c>
      <c r="G127" s="85" t="s">
        <v>266</v>
      </c>
      <c r="H127" s="85" t="s">
        <v>497</v>
      </c>
      <c r="I127" s="85" t="s">
        <v>643</v>
      </c>
      <c r="K127" s="86">
        <f t="shared" si="9"/>
        <v>2322.9599348939805</v>
      </c>
      <c r="M127" s="86">
        <v>2200</v>
      </c>
      <c r="P127" s="85">
        <v>2252.1735845054504</v>
      </c>
      <c r="Q127" s="85">
        <v>2322.9599348939805</v>
      </c>
    </row>
    <row r="128" spans="1:18" x14ac:dyDescent="0.3">
      <c r="A128" s="85">
        <v>4</v>
      </c>
      <c r="C128" s="85">
        <f t="shared" si="5"/>
        <v>12</v>
      </c>
      <c r="D128" s="85">
        <f t="shared" si="6"/>
        <v>12</v>
      </c>
      <c r="E128" s="85">
        <f t="shared" si="7"/>
        <v>14</v>
      </c>
      <c r="F128" s="85" t="str">
        <f t="shared" si="8"/>
        <v>pm</v>
      </c>
      <c r="G128" s="85" t="s">
        <v>267</v>
      </c>
      <c r="H128" s="85" t="s">
        <v>497</v>
      </c>
      <c r="I128" s="85" t="s">
        <v>644</v>
      </c>
      <c r="K128" s="86">
        <f t="shared" si="9"/>
        <v>2256.7216718863097</v>
      </c>
      <c r="M128" s="86">
        <v>2200</v>
      </c>
      <c r="P128" s="85">
        <v>2244.6644171731336</v>
      </c>
      <c r="Q128" s="85">
        <v>2256.7216718863097</v>
      </c>
    </row>
    <row r="129" spans="1:17" x14ac:dyDescent="0.3">
      <c r="A129" s="85">
        <v>4</v>
      </c>
      <c r="C129" s="85">
        <f t="shared" si="5"/>
        <v>13</v>
      </c>
      <c r="D129" s="85">
        <f t="shared" si="6"/>
        <v>13</v>
      </c>
      <c r="E129" s="85">
        <f t="shared" si="7"/>
        <v>14</v>
      </c>
      <c r="F129" s="85" t="str">
        <f t="shared" si="8"/>
        <v>pm</v>
      </c>
      <c r="G129" s="85" t="s">
        <v>276</v>
      </c>
      <c r="H129" s="85" t="s">
        <v>497</v>
      </c>
      <c r="I129" s="85" t="s">
        <v>645</v>
      </c>
      <c r="K129" s="86">
        <f t="shared" si="9"/>
        <v>2190.8176806406782</v>
      </c>
      <c r="M129" s="86">
        <v>2200</v>
      </c>
      <c r="P129" s="85">
        <v>2134.2419780029754</v>
      </c>
      <c r="Q129" s="85">
        <v>2190.8176806406782</v>
      </c>
    </row>
    <row r="130" spans="1:17" x14ac:dyDescent="0.3">
      <c r="A130" s="85">
        <v>3</v>
      </c>
      <c r="C130" s="85">
        <f t="shared" ref="C130:C193" si="10">IF(E130=E129,C129+1,1)</f>
        <v>14</v>
      </c>
      <c r="D130" s="85">
        <f t="shared" ref="D130:D193" si="11">IF(K130=K129,D129,C130)</f>
        <v>14</v>
      </c>
      <c r="E130" s="85">
        <f t="shared" ref="E130:E193" si="12">10+VALUE(RIGHT(LEFT(G130,3),1))</f>
        <v>14</v>
      </c>
      <c r="F130" s="85" t="str">
        <f t="shared" ref="F130:F193" si="13">RIGHT(G130,2) &amp; IF(A130&lt;2,"x","")</f>
        <v>pm</v>
      </c>
      <c r="G130" s="85" t="s">
        <v>646</v>
      </c>
      <c r="H130" s="85" t="s">
        <v>534</v>
      </c>
      <c r="I130" s="85" t="s">
        <v>647</v>
      </c>
      <c r="K130" s="86">
        <f t="shared" ref="K130:K193" si="14">LOOKUP(1E+100,M130:AB130)</f>
        <v>2154.5117880449393</v>
      </c>
      <c r="M130" s="86">
        <v>2200</v>
      </c>
      <c r="Q130" s="85">
        <v>2154.5117880449393</v>
      </c>
    </row>
    <row r="131" spans="1:17" x14ac:dyDescent="0.3">
      <c r="A131" s="85">
        <v>5</v>
      </c>
      <c r="C131" s="85">
        <f t="shared" si="10"/>
        <v>15</v>
      </c>
      <c r="D131" s="85">
        <f t="shared" si="11"/>
        <v>15</v>
      </c>
      <c r="E131" s="85">
        <f t="shared" si="12"/>
        <v>14</v>
      </c>
      <c r="F131" s="85" t="str">
        <f t="shared" si="13"/>
        <v>pm</v>
      </c>
      <c r="G131" s="85" t="s">
        <v>268</v>
      </c>
      <c r="H131" s="85" t="s">
        <v>167</v>
      </c>
      <c r="I131" s="85" t="s">
        <v>648</v>
      </c>
      <c r="K131" s="86">
        <f t="shared" si="14"/>
        <v>2234.3526263757667</v>
      </c>
      <c r="M131" s="86">
        <v>2200</v>
      </c>
      <c r="Q131" s="85">
        <v>2234.3526263757667</v>
      </c>
    </row>
    <row r="132" spans="1:17" x14ac:dyDescent="0.3">
      <c r="A132" s="85">
        <v>5</v>
      </c>
      <c r="C132" s="85">
        <f t="shared" si="10"/>
        <v>16</v>
      </c>
      <c r="D132" s="85">
        <f t="shared" si="11"/>
        <v>16</v>
      </c>
      <c r="E132" s="85">
        <f t="shared" si="12"/>
        <v>14</v>
      </c>
      <c r="F132" s="85" t="str">
        <f t="shared" si="13"/>
        <v>pm</v>
      </c>
      <c r="G132" s="85" t="s">
        <v>269</v>
      </c>
      <c r="H132" s="85" t="s">
        <v>167</v>
      </c>
      <c r="I132" s="85" t="s">
        <v>649</v>
      </c>
      <c r="K132" s="86">
        <f t="shared" si="14"/>
        <v>2144.1609008331397</v>
      </c>
      <c r="M132" s="86">
        <v>2200</v>
      </c>
      <c r="Q132" s="85">
        <v>2144.1609008331397</v>
      </c>
    </row>
    <row r="133" spans="1:17" x14ac:dyDescent="0.3">
      <c r="A133" s="85">
        <v>2</v>
      </c>
      <c r="C133" s="85">
        <f t="shared" si="10"/>
        <v>17</v>
      </c>
      <c r="D133" s="85">
        <f t="shared" si="11"/>
        <v>17</v>
      </c>
      <c r="E133" s="85">
        <f t="shared" si="12"/>
        <v>14</v>
      </c>
      <c r="F133" s="85" t="str">
        <f t="shared" si="13"/>
        <v>pm</v>
      </c>
      <c r="G133" s="85" t="s">
        <v>302</v>
      </c>
      <c r="H133" s="85" t="s">
        <v>167</v>
      </c>
      <c r="I133" s="85" t="s">
        <v>650</v>
      </c>
      <c r="K133" s="86">
        <f t="shared" si="14"/>
        <v>2200</v>
      </c>
      <c r="M133" s="86">
        <v>2200</v>
      </c>
    </row>
    <row r="134" spans="1:17" x14ac:dyDescent="0.3">
      <c r="A134" s="85">
        <v>2</v>
      </c>
      <c r="C134" s="85">
        <f t="shared" si="10"/>
        <v>18</v>
      </c>
      <c r="D134" s="85">
        <f t="shared" si="11"/>
        <v>18</v>
      </c>
      <c r="E134" s="85">
        <f t="shared" si="12"/>
        <v>14</v>
      </c>
      <c r="F134" s="85" t="str">
        <f t="shared" si="13"/>
        <v>pm</v>
      </c>
      <c r="G134" s="85" t="s">
        <v>651</v>
      </c>
      <c r="H134" s="85" t="s">
        <v>331</v>
      </c>
      <c r="I134" s="85" t="s">
        <v>652</v>
      </c>
      <c r="K134" s="86">
        <f t="shared" si="14"/>
        <v>2073.5421959918044</v>
      </c>
      <c r="M134" s="86">
        <v>2200</v>
      </c>
      <c r="P134" s="85">
        <v>2073.5421959918044</v>
      </c>
    </row>
    <row r="135" spans="1:17" x14ac:dyDescent="0.3">
      <c r="A135" s="85">
        <v>2</v>
      </c>
      <c r="C135" s="85">
        <f t="shared" si="10"/>
        <v>19</v>
      </c>
      <c r="D135" s="85">
        <f t="shared" si="11"/>
        <v>19</v>
      </c>
      <c r="E135" s="85">
        <f t="shared" si="12"/>
        <v>14</v>
      </c>
      <c r="F135" s="85" t="str">
        <f t="shared" si="13"/>
        <v>pm</v>
      </c>
      <c r="G135" s="85" t="s">
        <v>270</v>
      </c>
      <c r="H135" s="85" t="s">
        <v>159</v>
      </c>
      <c r="I135" s="85" t="s">
        <v>653</v>
      </c>
      <c r="K135" s="86">
        <f t="shared" si="14"/>
        <v>2200</v>
      </c>
      <c r="M135" s="86">
        <v>2200</v>
      </c>
    </row>
    <row r="136" spans="1:17" x14ac:dyDescent="0.3">
      <c r="A136" s="85">
        <v>3</v>
      </c>
      <c r="C136" s="85">
        <f t="shared" si="10"/>
        <v>20</v>
      </c>
      <c r="D136" s="85">
        <f t="shared" si="11"/>
        <v>19</v>
      </c>
      <c r="E136" s="85">
        <f t="shared" si="12"/>
        <v>14</v>
      </c>
      <c r="F136" s="85" t="str">
        <f t="shared" si="13"/>
        <v>pm</v>
      </c>
      <c r="G136" s="85" t="s">
        <v>271</v>
      </c>
      <c r="H136" s="85" t="s">
        <v>502</v>
      </c>
      <c r="I136" s="85" t="s">
        <v>654</v>
      </c>
      <c r="K136" s="86">
        <f t="shared" si="14"/>
        <v>2200</v>
      </c>
      <c r="M136" s="86">
        <v>2200</v>
      </c>
    </row>
    <row r="137" spans="1:17" x14ac:dyDescent="0.3">
      <c r="A137" s="85">
        <v>1</v>
      </c>
      <c r="C137" s="85">
        <f t="shared" si="10"/>
        <v>21</v>
      </c>
      <c r="D137" s="85">
        <f t="shared" si="11"/>
        <v>19</v>
      </c>
      <c r="E137" s="85">
        <f t="shared" si="12"/>
        <v>14</v>
      </c>
      <c r="F137" s="85" t="str">
        <f t="shared" si="13"/>
        <v>crx</v>
      </c>
      <c r="G137" s="85" t="s">
        <v>655</v>
      </c>
      <c r="H137" s="85" t="s">
        <v>576</v>
      </c>
      <c r="I137" s="85" t="s">
        <v>656</v>
      </c>
      <c r="K137" s="86">
        <f t="shared" si="14"/>
        <v>2200</v>
      </c>
      <c r="M137" s="86">
        <v>2200</v>
      </c>
    </row>
    <row r="138" spans="1:17" x14ac:dyDescent="0.3">
      <c r="A138" s="85">
        <v>1</v>
      </c>
      <c r="C138" s="85">
        <f t="shared" si="10"/>
        <v>22</v>
      </c>
      <c r="D138" s="85">
        <f t="shared" si="11"/>
        <v>19</v>
      </c>
      <c r="E138" s="85">
        <f t="shared" si="12"/>
        <v>14</v>
      </c>
      <c r="F138" s="85" t="str">
        <f t="shared" si="13"/>
        <v>crx</v>
      </c>
      <c r="G138" s="85" t="s">
        <v>657</v>
      </c>
      <c r="H138" s="85" t="s">
        <v>579</v>
      </c>
      <c r="I138" s="85" t="s">
        <v>658</v>
      </c>
      <c r="K138" s="86">
        <f t="shared" si="14"/>
        <v>2200</v>
      </c>
      <c r="M138" s="86">
        <v>2200</v>
      </c>
    </row>
    <row r="139" spans="1:17" x14ac:dyDescent="0.3">
      <c r="A139" s="85">
        <v>1</v>
      </c>
      <c r="C139" s="85">
        <f t="shared" si="10"/>
        <v>23</v>
      </c>
      <c r="D139" s="85">
        <f t="shared" si="11"/>
        <v>19</v>
      </c>
      <c r="E139" s="85">
        <f t="shared" si="12"/>
        <v>14</v>
      </c>
      <c r="F139" s="85" t="str">
        <f t="shared" si="13"/>
        <v>crx</v>
      </c>
      <c r="G139" s="85" t="s">
        <v>659</v>
      </c>
      <c r="H139" s="85" t="s">
        <v>579</v>
      </c>
      <c r="I139" s="85" t="s">
        <v>660</v>
      </c>
      <c r="K139" s="86">
        <f t="shared" si="14"/>
        <v>2200</v>
      </c>
      <c r="M139" s="86">
        <v>2200</v>
      </c>
    </row>
    <row r="140" spans="1:17" x14ac:dyDescent="0.3">
      <c r="A140" s="85">
        <v>1</v>
      </c>
      <c r="C140" s="85">
        <f t="shared" si="10"/>
        <v>24</v>
      </c>
      <c r="D140" s="85">
        <f t="shared" si="11"/>
        <v>19</v>
      </c>
      <c r="E140" s="85">
        <f t="shared" si="12"/>
        <v>14</v>
      </c>
      <c r="F140" s="85" t="str">
        <f t="shared" si="13"/>
        <v>sox</v>
      </c>
      <c r="G140" s="85" t="s">
        <v>661</v>
      </c>
      <c r="H140" s="85" t="s">
        <v>582</v>
      </c>
      <c r="I140" s="85" t="s">
        <v>662</v>
      </c>
      <c r="K140" s="86">
        <f t="shared" si="14"/>
        <v>2200</v>
      </c>
      <c r="M140" s="86">
        <v>2200</v>
      </c>
    </row>
    <row r="141" spans="1:17" x14ac:dyDescent="0.3">
      <c r="A141" s="85">
        <v>3</v>
      </c>
      <c r="C141" s="85">
        <f t="shared" si="10"/>
        <v>25</v>
      </c>
      <c r="D141" s="85">
        <f t="shared" si="11"/>
        <v>25</v>
      </c>
      <c r="E141" s="85">
        <f t="shared" si="12"/>
        <v>14</v>
      </c>
      <c r="F141" s="85" t="str">
        <f t="shared" si="13"/>
        <v>pm</v>
      </c>
      <c r="G141" s="85" t="s">
        <v>244</v>
      </c>
      <c r="H141" s="85" t="s">
        <v>144</v>
      </c>
      <c r="I141" s="85" t="s">
        <v>663</v>
      </c>
      <c r="K141" s="86">
        <f t="shared" si="14"/>
        <v>2326.5309750174952</v>
      </c>
      <c r="M141" s="86">
        <v>2200</v>
      </c>
      <c r="N141" s="85">
        <v>2326.5309750174952</v>
      </c>
    </row>
    <row r="142" spans="1:17" x14ac:dyDescent="0.3">
      <c r="A142" s="85">
        <v>5</v>
      </c>
      <c r="C142" s="85">
        <f t="shared" si="10"/>
        <v>26</v>
      </c>
      <c r="D142" s="85">
        <f t="shared" si="11"/>
        <v>26</v>
      </c>
      <c r="E142" s="85">
        <f t="shared" si="12"/>
        <v>14</v>
      </c>
      <c r="F142" s="85" t="str">
        <f t="shared" si="13"/>
        <v>pm</v>
      </c>
      <c r="G142" s="85" t="s">
        <v>248</v>
      </c>
      <c r="H142" s="85" t="s">
        <v>177</v>
      </c>
      <c r="I142" s="85" t="s">
        <v>664</v>
      </c>
      <c r="K142" s="86">
        <f t="shared" si="14"/>
        <v>2312.0767912270649</v>
      </c>
      <c r="M142" s="86">
        <v>2200</v>
      </c>
      <c r="P142" s="85">
        <v>2278.4525646033417</v>
      </c>
      <c r="Q142" s="85">
        <v>2312.0767912270649</v>
      </c>
    </row>
    <row r="143" spans="1:17" x14ac:dyDescent="0.3">
      <c r="A143" s="85">
        <v>1</v>
      </c>
      <c r="C143" s="85">
        <f t="shared" si="10"/>
        <v>27</v>
      </c>
      <c r="D143" s="85">
        <f t="shared" si="11"/>
        <v>27</v>
      </c>
      <c r="E143" s="85">
        <f t="shared" si="12"/>
        <v>14</v>
      </c>
      <c r="F143" s="85" t="str">
        <f t="shared" si="13"/>
        <v>pmx</v>
      </c>
      <c r="G143" s="85" t="s">
        <v>260</v>
      </c>
      <c r="H143" s="85" t="s">
        <v>163</v>
      </c>
      <c r="I143" s="85" t="s">
        <v>261</v>
      </c>
      <c r="K143" s="86">
        <f t="shared" si="14"/>
        <v>2321.2243463114628</v>
      </c>
      <c r="M143" s="86">
        <v>2200</v>
      </c>
      <c r="Q143" s="85">
        <v>2321.2243463114628</v>
      </c>
    </row>
    <row r="144" spans="1:17" x14ac:dyDescent="0.3">
      <c r="A144" s="85">
        <v>5</v>
      </c>
      <c r="C144" s="85">
        <f t="shared" si="10"/>
        <v>28</v>
      </c>
      <c r="D144" s="85">
        <f t="shared" si="11"/>
        <v>28</v>
      </c>
      <c r="E144" s="85">
        <f t="shared" si="12"/>
        <v>14</v>
      </c>
      <c r="F144" s="85" t="str">
        <f t="shared" si="13"/>
        <v>pm</v>
      </c>
      <c r="G144" s="85" t="s">
        <v>250</v>
      </c>
      <c r="H144" s="85" t="s">
        <v>186</v>
      </c>
      <c r="I144" s="85" t="s">
        <v>665</v>
      </c>
      <c r="K144" s="86">
        <f t="shared" si="14"/>
        <v>2157.0688207251719</v>
      </c>
      <c r="M144" s="86">
        <v>2160</v>
      </c>
      <c r="P144" s="85">
        <v>2157.0688207251719</v>
      </c>
    </row>
    <row r="145" spans="1:18" x14ac:dyDescent="0.3">
      <c r="A145" s="85">
        <v>7</v>
      </c>
      <c r="C145" s="85">
        <f t="shared" si="10"/>
        <v>29</v>
      </c>
      <c r="D145" s="85">
        <f t="shared" si="11"/>
        <v>29</v>
      </c>
      <c r="E145" s="85">
        <f t="shared" si="12"/>
        <v>14</v>
      </c>
      <c r="F145" s="85" t="str">
        <f t="shared" si="13"/>
        <v>pm</v>
      </c>
      <c r="G145" s="85" t="s">
        <v>252</v>
      </c>
      <c r="H145" s="85" t="s">
        <v>186</v>
      </c>
      <c r="I145" s="85" t="s">
        <v>666</v>
      </c>
      <c r="K145" s="86">
        <f t="shared" si="14"/>
        <v>2080.9005449319152</v>
      </c>
      <c r="M145" s="86">
        <v>2142.8571428571427</v>
      </c>
      <c r="O145" s="85">
        <v>2124.8136406435256</v>
      </c>
      <c r="P145" s="85">
        <v>2119.2988049542182</v>
      </c>
      <c r="Q145" s="85">
        <v>2080.9005449319152</v>
      </c>
    </row>
    <row r="146" spans="1:18" x14ac:dyDescent="0.3">
      <c r="A146" s="85">
        <v>6</v>
      </c>
      <c r="C146" s="85">
        <f t="shared" si="10"/>
        <v>30</v>
      </c>
      <c r="D146" s="85">
        <f t="shared" si="11"/>
        <v>30</v>
      </c>
      <c r="E146" s="85">
        <f t="shared" si="12"/>
        <v>14</v>
      </c>
      <c r="F146" s="85" t="str">
        <f t="shared" si="13"/>
        <v>pm</v>
      </c>
      <c r="G146" s="85" t="s">
        <v>249</v>
      </c>
      <c r="H146" s="85" t="s">
        <v>177</v>
      </c>
      <c r="I146" s="85" t="s">
        <v>667</v>
      </c>
      <c r="K146" s="86">
        <f t="shared" si="14"/>
        <v>2050.4875131961689</v>
      </c>
      <c r="M146" s="86">
        <v>2133.3333333333335</v>
      </c>
      <c r="O146" s="85">
        <v>2123.8030060029546</v>
      </c>
      <c r="P146" s="85">
        <v>2028.2185977183215</v>
      </c>
      <c r="Q146" s="85">
        <v>2050.4875131961689</v>
      </c>
    </row>
    <row r="147" spans="1:18" x14ac:dyDescent="0.3">
      <c r="A147" s="85">
        <v>3</v>
      </c>
      <c r="C147" s="85">
        <f t="shared" si="10"/>
        <v>31</v>
      </c>
      <c r="D147" s="85">
        <f t="shared" si="11"/>
        <v>31</v>
      </c>
      <c r="E147" s="85">
        <f t="shared" si="12"/>
        <v>14</v>
      </c>
      <c r="F147" s="85" t="str">
        <f t="shared" si="13"/>
        <v>pm</v>
      </c>
      <c r="G147" s="85" t="s">
        <v>668</v>
      </c>
      <c r="H147" s="85" t="s">
        <v>145</v>
      </c>
      <c r="I147" s="85" t="s">
        <v>669</v>
      </c>
      <c r="K147" s="86">
        <f t="shared" si="14"/>
        <v>2197.4041119202066</v>
      </c>
      <c r="M147" s="86">
        <v>2133.3333333333335</v>
      </c>
      <c r="N147" s="85">
        <v>2197.4041119202066</v>
      </c>
    </row>
    <row r="148" spans="1:18" x14ac:dyDescent="0.3">
      <c r="A148" s="85">
        <v>6</v>
      </c>
      <c r="C148" s="85">
        <f t="shared" si="10"/>
        <v>32</v>
      </c>
      <c r="D148" s="85">
        <f t="shared" si="11"/>
        <v>32</v>
      </c>
      <c r="E148" s="85">
        <f t="shared" si="12"/>
        <v>14</v>
      </c>
      <c r="F148" s="85" t="str">
        <f t="shared" si="13"/>
        <v>pm</v>
      </c>
      <c r="G148" s="85" t="s">
        <v>251</v>
      </c>
      <c r="H148" s="85" t="s">
        <v>186</v>
      </c>
      <c r="I148" s="85" t="s">
        <v>670</v>
      </c>
      <c r="K148" s="86">
        <f t="shared" si="14"/>
        <v>2046.4945599612686</v>
      </c>
      <c r="M148" s="86">
        <v>2133.3333333333335</v>
      </c>
      <c r="O148" s="85">
        <v>2086.4490895334916</v>
      </c>
      <c r="Q148" s="85">
        <v>2046.4945599612686</v>
      </c>
    </row>
    <row r="149" spans="1:18" x14ac:dyDescent="0.3">
      <c r="A149" s="85">
        <v>4</v>
      </c>
      <c r="C149" s="85">
        <f t="shared" si="10"/>
        <v>33</v>
      </c>
      <c r="D149" s="85">
        <f t="shared" si="11"/>
        <v>33</v>
      </c>
      <c r="E149" s="85">
        <f t="shared" si="12"/>
        <v>14</v>
      </c>
      <c r="F149" s="85" t="str">
        <f t="shared" si="13"/>
        <v>pm</v>
      </c>
      <c r="G149" s="85" t="s">
        <v>275</v>
      </c>
      <c r="H149" s="85" t="s">
        <v>183</v>
      </c>
      <c r="I149" s="85" t="s">
        <v>671</v>
      </c>
      <c r="K149" s="86">
        <f t="shared" si="14"/>
        <v>2214.8101428000855</v>
      </c>
      <c r="M149" s="86">
        <v>2100</v>
      </c>
      <c r="N149" s="85">
        <v>2174.2197512125058</v>
      </c>
      <c r="P149" s="85">
        <v>2214.8101428000855</v>
      </c>
    </row>
    <row r="150" spans="1:18" x14ac:dyDescent="0.3">
      <c r="A150" s="85">
        <v>2</v>
      </c>
      <c r="C150" s="85">
        <f t="shared" si="10"/>
        <v>34</v>
      </c>
      <c r="D150" s="85">
        <f t="shared" si="11"/>
        <v>34</v>
      </c>
      <c r="E150" s="85">
        <f t="shared" si="12"/>
        <v>14</v>
      </c>
      <c r="F150" s="85" t="str">
        <f t="shared" si="13"/>
        <v>pm</v>
      </c>
      <c r="G150" s="85" t="s">
        <v>672</v>
      </c>
      <c r="H150" s="85" t="s">
        <v>497</v>
      </c>
      <c r="I150" s="85" t="s">
        <v>673</v>
      </c>
      <c r="K150" s="86">
        <f t="shared" si="14"/>
        <v>2082.0096454673176</v>
      </c>
      <c r="M150" s="86">
        <v>2000</v>
      </c>
      <c r="P150" s="85">
        <v>2049.1781545895406</v>
      </c>
      <c r="R150" s="85">
        <v>2082.0096454673176</v>
      </c>
    </row>
    <row r="151" spans="1:18" x14ac:dyDescent="0.3">
      <c r="A151" s="85">
        <v>2</v>
      </c>
      <c r="C151" s="85">
        <f t="shared" si="10"/>
        <v>35</v>
      </c>
      <c r="D151" s="85">
        <f t="shared" si="11"/>
        <v>35</v>
      </c>
      <c r="E151" s="85">
        <f t="shared" si="12"/>
        <v>14</v>
      </c>
      <c r="F151" s="85" t="str">
        <f t="shared" si="13"/>
        <v>pm</v>
      </c>
      <c r="G151" s="85" t="s">
        <v>674</v>
      </c>
      <c r="H151" s="85" t="s">
        <v>675</v>
      </c>
      <c r="I151" s="85" t="s">
        <v>676</v>
      </c>
      <c r="K151" s="86">
        <f t="shared" si="14"/>
        <v>1847.1241959091305</v>
      </c>
      <c r="M151" s="86">
        <v>2000</v>
      </c>
      <c r="P151" s="85">
        <v>1847.1241959091305</v>
      </c>
    </row>
    <row r="152" spans="1:18" x14ac:dyDescent="0.3">
      <c r="A152" s="85">
        <v>2</v>
      </c>
      <c r="C152" s="85">
        <f t="shared" si="10"/>
        <v>36</v>
      </c>
      <c r="D152" s="85">
        <f t="shared" si="11"/>
        <v>36</v>
      </c>
      <c r="E152" s="85">
        <f t="shared" si="12"/>
        <v>14</v>
      </c>
      <c r="F152" s="85" t="str">
        <f t="shared" si="13"/>
        <v>pm</v>
      </c>
      <c r="G152" s="85" t="s">
        <v>273</v>
      </c>
      <c r="H152" s="85" t="s">
        <v>159</v>
      </c>
      <c r="I152" s="85" t="s">
        <v>274</v>
      </c>
      <c r="K152" s="86">
        <f t="shared" si="14"/>
        <v>2000</v>
      </c>
      <c r="M152" s="86">
        <v>2000</v>
      </c>
    </row>
    <row r="153" spans="1:18" x14ac:dyDescent="0.3">
      <c r="A153" s="85">
        <v>2</v>
      </c>
      <c r="C153" s="85">
        <f t="shared" si="10"/>
        <v>37</v>
      </c>
      <c r="D153" s="85">
        <f t="shared" si="11"/>
        <v>37</v>
      </c>
      <c r="E153" s="85">
        <f t="shared" si="12"/>
        <v>14</v>
      </c>
      <c r="F153" s="85" t="str">
        <f t="shared" si="13"/>
        <v>cr</v>
      </c>
      <c r="G153" s="85" t="s">
        <v>439</v>
      </c>
      <c r="H153" s="85" t="s">
        <v>495</v>
      </c>
      <c r="I153" s="85" t="s">
        <v>677</v>
      </c>
      <c r="K153" s="86">
        <f t="shared" si="14"/>
        <v>2166.0105488436016</v>
      </c>
      <c r="M153" s="86">
        <v>2000</v>
      </c>
      <c r="O153" s="85">
        <v>2166.0105488436016</v>
      </c>
    </row>
    <row r="154" spans="1:18" x14ac:dyDescent="0.3">
      <c r="A154" s="85">
        <v>4</v>
      </c>
      <c r="C154" s="85">
        <f t="shared" si="10"/>
        <v>38</v>
      </c>
      <c r="D154" s="85">
        <f t="shared" si="11"/>
        <v>38</v>
      </c>
      <c r="E154" s="85">
        <f t="shared" si="12"/>
        <v>14</v>
      </c>
      <c r="F154" s="85" t="str">
        <f t="shared" si="13"/>
        <v>pm</v>
      </c>
      <c r="G154" s="85" t="s">
        <v>678</v>
      </c>
      <c r="H154" s="85" t="s">
        <v>679</v>
      </c>
      <c r="I154" s="85" t="s">
        <v>680</v>
      </c>
      <c r="K154" s="86">
        <f t="shared" si="14"/>
        <v>1885.7182609507843</v>
      </c>
      <c r="M154" s="86">
        <v>1900</v>
      </c>
      <c r="P154" s="85">
        <v>1885.7182609507843</v>
      </c>
    </row>
    <row r="155" spans="1:18" x14ac:dyDescent="0.3">
      <c r="A155" s="85">
        <v>2</v>
      </c>
      <c r="C155" s="85">
        <f t="shared" si="10"/>
        <v>39</v>
      </c>
      <c r="D155" s="85">
        <f t="shared" si="11"/>
        <v>39</v>
      </c>
      <c r="E155" s="85">
        <f t="shared" si="12"/>
        <v>14</v>
      </c>
      <c r="F155" s="85" t="str">
        <f t="shared" si="13"/>
        <v>so</v>
      </c>
      <c r="G155" s="85" t="s">
        <v>681</v>
      </c>
      <c r="H155" s="85" t="s">
        <v>588</v>
      </c>
      <c r="I155" s="85" t="s">
        <v>682</v>
      </c>
      <c r="K155" s="86">
        <f t="shared" si="14"/>
        <v>1971.8826744034932</v>
      </c>
      <c r="M155" s="86">
        <v>1900</v>
      </c>
      <c r="P155" s="85">
        <v>1971.8826744034932</v>
      </c>
    </row>
    <row r="156" spans="1:18" x14ac:dyDescent="0.3">
      <c r="A156" s="85">
        <v>5</v>
      </c>
      <c r="C156" s="85">
        <f t="shared" si="10"/>
        <v>40</v>
      </c>
      <c r="D156" s="85">
        <f t="shared" si="11"/>
        <v>40</v>
      </c>
      <c r="E156" s="85">
        <f t="shared" si="12"/>
        <v>14</v>
      </c>
      <c r="F156" s="85" t="str">
        <f t="shared" si="13"/>
        <v>pm</v>
      </c>
      <c r="G156" s="85" t="s">
        <v>683</v>
      </c>
      <c r="H156" s="85" t="s">
        <v>308</v>
      </c>
      <c r="I156" s="85" t="s">
        <v>684</v>
      </c>
      <c r="K156" s="86">
        <f t="shared" si="14"/>
        <v>1849.2539219698931</v>
      </c>
      <c r="M156" s="86">
        <v>1880</v>
      </c>
      <c r="P156" s="85">
        <v>1866.0217818946253</v>
      </c>
      <c r="R156" s="85">
        <v>1849.2539219698931</v>
      </c>
    </row>
    <row r="157" spans="1:18" x14ac:dyDescent="0.3">
      <c r="A157" s="85">
        <v>5</v>
      </c>
      <c r="C157" s="85">
        <f t="shared" si="10"/>
        <v>41</v>
      </c>
      <c r="D157" s="85">
        <f t="shared" si="11"/>
        <v>41</v>
      </c>
      <c r="E157" s="85">
        <f t="shared" si="12"/>
        <v>14</v>
      </c>
      <c r="F157" s="85" t="str">
        <f t="shared" si="13"/>
        <v>pm</v>
      </c>
      <c r="G157" s="85" t="s">
        <v>281</v>
      </c>
      <c r="H157" s="85" t="s">
        <v>549</v>
      </c>
      <c r="I157" s="85" t="s">
        <v>685</v>
      </c>
      <c r="K157" s="86">
        <f t="shared" si="14"/>
        <v>1847.1083510157146</v>
      </c>
      <c r="M157" s="86">
        <v>1880</v>
      </c>
      <c r="N157" s="85">
        <v>1847.1083510157146</v>
      </c>
    </row>
    <row r="158" spans="1:18" x14ac:dyDescent="0.3">
      <c r="A158" s="85">
        <v>3</v>
      </c>
      <c r="C158" s="85">
        <f t="shared" si="10"/>
        <v>42</v>
      </c>
      <c r="D158" s="85">
        <f t="shared" si="11"/>
        <v>42</v>
      </c>
      <c r="E158" s="85">
        <f t="shared" si="12"/>
        <v>14</v>
      </c>
      <c r="F158" s="85" t="str">
        <f t="shared" si="13"/>
        <v>pm</v>
      </c>
      <c r="G158" s="85" t="s">
        <v>279</v>
      </c>
      <c r="H158" s="85" t="s">
        <v>235</v>
      </c>
      <c r="I158" s="85" t="s">
        <v>280</v>
      </c>
      <c r="K158" s="86">
        <f t="shared" si="14"/>
        <v>1925.4284841677352</v>
      </c>
      <c r="M158" s="86">
        <v>1866.6666666666667</v>
      </c>
      <c r="P158" s="85">
        <v>1925.4284841677352</v>
      </c>
    </row>
    <row r="159" spans="1:18" x14ac:dyDescent="0.3">
      <c r="A159" s="85">
        <v>7</v>
      </c>
      <c r="C159" s="85">
        <f t="shared" si="10"/>
        <v>43</v>
      </c>
      <c r="D159" s="85">
        <f t="shared" si="11"/>
        <v>43</v>
      </c>
      <c r="E159" s="85">
        <f t="shared" si="12"/>
        <v>14</v>
      </c>
      <c r="F159" s="85" t="str">
        <f t="shared" si="13"/>
        <v>pm</v>
      </c>
      <c r="G159" s="85" t="s">
        <v>300</v>
      </c>
      <c r="H159" s="85" t="s">
        <v>167</v>
      </c>
      <c r="I159" s="85" t="s">
        <v>301</v>
      </c>
      <c r="K159" s="86">
        <f t="shared" si="14"/>
        <v>1744.9311551359685</v>
      </c>
      <c r="M159" s="86">
        <v>1857.1428571428571</v>
      </c>
      <c r="P159" s="85">
        <v>1762.9452068718263</v>
      </c>
      <c r="R159" s="85">
        <v>1744.9311551359685</v>
      </c>
    </row>
    <row r="160" spans="1:18" x14ac:dyDescent="0.3">
      <c r="A160" s="85">
        <v>5</v>
      </c>
      <c r="C160" s="85">
        <f t="shared" si="10"/>
        <v>44</v>
      </c>
      <c r="D160" s="85">
        <f t="shared" si="11"/>
        <v>44</v>
      </c>
      <c r="E160" s="85">
        <f t="shared" si="12"/>
        <v>14</v>
      </c>
      <c r="F160" s="85" t="str">
        <f t="shared" si="13"/>
        <v>pm</v>
      </c>
      <c r="G160" s="85" t="s">
        <v>307</v>
      </c>
      <c r="H160" s="85" t="s">
        <v>242</v>
      </c>
      <c r="I160" s="85" t="s">
        <v>686</v>
      </c>
      <c r="K160" s="86">
        <f t="shared" si="14"/>
        <v>1841.1200051186916</v>
      </c>
      <c r="M160" s="86">
        <v>1840</v>
      </c>
      <c r="P160" s="85">
        <v>1847.3357292555668</v>
      </c>
      <c r="R160" s="85">
        <v>1841.1200051186916</v>
      </c>
    </row>
    <row r="161" spans="1:18" x14ac:dyDescent="0.3">
      <c r="A161" s="85">
        <v>1</v>
      </c>
      <c r="C161" s="85">
        <f t="shared" si="10"/>
        <v>45</v>
      </c>
      <c r="D161" s="85">
        <f t="shared" si="11"/>
        <v>45</v>
      </c>
      <c r="E161" s="85">
        <f t="shared" si="12"/>
        <v>14</v>
      </c>
      <c r="F161" s="85" t="str">
        <f t="shared" si="13"/>
        <v>pmx</v>
      </c>
      <c r="G161" s="85" t="s">
        <v>687</v>
      </c>
      <c r="H161" s="85" t="s">
        <v>512</v>
      </c>
      <c r="I161" s="85" t="s">
        <v>688</v>
      </c>
      <c r="K161" s="86">
        <f t="shared" si="14"/>
        <v>1800</v>
      </c>
      <c r="M161" s="86">
        <v>1800</v>
      </c>
    </row>
    <row r="162" spans="1:18" x14ac:dyDescent="0.3">
      <c r="A162" s="85">
        <v>2</v>
      </c>
      <c r="C162" s="85">
        <f t="shared" si="10"/>
        <v>46</v>
      </c>
      <c r="D162" s="85">
        <f t="shared" si="11"/>
        <v>45</v>
      </c>
      <c r="E162" s="85">
        <f t="shared" si="12"/>
        <v>14</v>
      </c>
      <c r="F162" s="85" t="str">
        <f t="shared" si="13"/>
        <v>pm</v>
      </c>
      <c r="G162" s="85" t="s">
        <v>689</v>
      </c>
      <c r="H162" s="85" t="s">
        <v>515</v>
      </c>
      <c r="I162" s="85" t="s">
        <v>690</v>
      </c>
      <c r="K162" s="86">
        <f t="shared" si="14"/>
        <v>1800</v>
      </c>
      <c r="M162" s="86">
        <v>1800</v>
      </c>
    </row>
    <row r="163" spans="1:18" x14ac:dyDescent="0.3">
      <c r="A163" s="85">
        <v>6</v>
      </c>
      <c r="C163" s="85">
        <f t="shared" si="10"/>
        <v>47</v>
      </c>
      <c r="D163" s="85">
        <f t="shared" si="11"/>
        <v>47</v>
      </c>
      <c r="E163" s="85">
        <f t="shared" si="12"/>
        <v>14</v>
      </c>
      <c r="F163" s="85" t="str">
        <f t="shared" si="13"/>
        <v>pm</v>
      </c>
      <c r="G163" s="85" t="s">
        <v>691</v>
      </c>
      <c r="H163" s="85" t="s">
        <v>339</v>
      </c>
      <c r="I163" s="85" t="s">
        <v>692</v>
      </c>
      <c r="K163" s="86">
        <f t="shared" si="14"/>
        <v>1767.4262448973393</v>
      </c>
      <c r="M163" s="86">
        <v>1800</v>
      </c>
      <c r="N163" s="85">
        <v>1718.6611112438743</v>
      </c>
      <c r="P163" s="85">
        <v>1815.1521821289225</v>
      </c>
      <c r="R163" s="85">
        <v>1767.4262448973393</v>
      </c>
    </row>
    <row r="164" spans="1:18" x14ac:dyDescent="0.3">
      <c r="A164" s="85">
        <v>3</v>
      </c>
      <c r="C164" s="85">
        <f t="shared" si="10"/>
        <v>48</v>
      </c>
      <c r="D164" s="85">
        <f t="shared" si="11"/>
        <v>48</v>
      </c>
      <c r="E164" s="85">
        <f t="shared" si="12"/>
        <v>14</v>
      </c>
      <c r="F164" s="85" t="str">
        <f t="shared" si="13"/>
        <v>pm</v>
      </c>
      <c r="G164" s="85" t="s">
        <v>284</v>
      </c>
      <c r="H164" s="85" t="s">
        <v>144</v>
      </c>
      <c r="I164" s="85" t="s">
        <v>283</v>
      </c>
      <c r="K164" s="86">
        <f t="shared" si="14"/>
        <v>1833.0084799585911</v>
      </c>
      <c r="M164" s="86">
        <v>1800</v>
      </c>
      <c r="N164" s="85">
        <v>1778.3842920745774</v>
      </c>
      <c r="P164" s="85">
        <v>1833.0084799585911</v>
      </c>
    </row>
    <row r="165" spans="1:18" x14ac:dyDescent="0.3">
      <c r="A165" s="85">
        <v>3</v>
      </c>
      <c r="C165" s="85">
        <f t="shared" si="10"/>
        <v>49</v>
      </c>
      <c r="D165" s="85">
        <f t="shared" si="11"/>
        <v>49</v>
      </c>
      <c r="E165" s="85">
        <f t="shared" si="12"/>
        <v>14</v>
      </c>
      <c r="F165" s="85" t="str">
        <f t="shared" si="13"/>
        <v>pm</v>
      </c>
      <c r="G165" s="85" t="s">
        <v>286</v>
      </c>
      <c r="H165" s="85" t="s">
        <v>144</v>
      </c>
      <c r="I165" s="85" t="s">
        <v>285</v>
      </c>
      <c r="K165" s="86">
        <f t="shared" si="14"/>
        <v>1903.1265717512813</v>
      </c>
      <c r="M165" s="86">
        <v>1800</v>
      </c>
      <c r="N165" s="85">
        <v>1824.4592382938808</v>
      </c>
      <c r="P165" s="85">
        <v>1903.1265717512813</v>
      </c>
    </row>
    <row r="166" spans="1:18" x14ac:dyDescent="0.3">
      <c r="A166" s="85">
        <v>3</v>
      </c>
      <c r="C166" s="85">
        <f t="shared" si="10"/>
        <v>50</v>
      </c>
      <c r="D166" s="85">
        <f t="shared" si="11"/>
        <v>50</v>
      </c>
      <c r="E166" s="85">
        <f t="shared" si="12"/>
        <v>14</v>
      </c>
      <c r="F166" s="85" t="str">
        <f t="shared" si="13"/>
        <v>pm</v>
      </c>
      <c r="G166" s="85" t="s">
        <v>693</v>
      </c>
      <c r="H166" s="85" t="s">
        <v>144</v>
      </c>
      <c r="I166" s="85" t="s">
        <v>287</v>
      </c>
      <c r="K166" s="86">
        <f t="shared" si="14"/>
        <v>1753.2138579630362</v>
      </c>
      <c r="M166" s="86">
        <v>1800</v>
      </c>
      <c r="P166" s="85">
        <v>1753.2138579630362</v>
      </c>
    </row>
    <row r="167" spans="1:18" x14ac:dyDescent="0.3">
      <c r="A167" s="85">
        <v>3</v>
      </c>
      <c r="C167" s="85">
        <f t="shared" si="10"/>
        <v>51</v>
      </c>
      <c r="D167" s="85">
        <f t="shared" si="11"/>
        <v>51</v>
      </c>
      <c r="E167" s="85">
        <f t="shared" si="12"/>
        <v>14</v>
      </c>
      <c r="F167" s="85" t="str">
        <f t="shared" si="13"/>
        <v>pm</v>
      </c>
      <c r="G167" s="85" t="s">
        <v>694</v>
      </c>
      <c r="H167" s="85" t="s">
        <v>519</v>
      </c>
      <c r="I167" s="85" t="s">
        <v>695</v>
      </c>
      <c r="K167" s="86">
        <f t="shared" si="14"/>
        <v>1800</v>
      </c>
      <c r="M167" s="86">
        <v>1800</v>
      </c>
    </row>
    <row r="168" spans="1:18" x14ac:dyDescent="0.3">
      <c r="A168" s="85">
        <v>5</v>
      </c>
      <c r="C168" s="85">
        <f t="shared" si="10"/>
        <v>52</v>
      </c>
      <c r="D168" s="85">
        <f t="shared" si="11"/>
        <v>52</v>
      </c>
      <c r="E168" s="85">
        <f t="shared" si="12"/>
        <v>14</v>
      </c>
      <c r="F168" s="85" t="str">
        <f t="shared" si="13"/>
        <v>pm</v>
      </c>
      <c r="G168" s="85" t="s">
        <v>696</v>
      </c>
      <c r="H168" s="85" t="s">
        <v>175</v>
      </c>
      <c r="I168" s="85" t="s">
        <v>697</v>
      </c>
      <c r="K168" s="86">
        <f t="shared" si="14"/>
        <v>1891.9144582347276</v>
      </c>
      <c r="M168" s="86">
        <v>1800</v>
      </c>
      <c r="N168" s="85">
        <v>1889.3788535790063</v>
      </c>
      <c r="P168" s="85">
        <v>1891.9144582347276</v>
      </c>
    </row>
    <row r="169" spans="1:18" x14ac:dyDescent="0.3">
      <c r="A169" s="85">
        <v>4</v>
      </c>
      <c r="C169" s="85">
        <f t="shared" si="10"/>
        <v>53</v>
      </c>
      <c r="D169" s="85">
        <f t="shared" si="11"/>
        <v>53</v>
      </c>
      <c r="E169" s="85">
        <f t="shared" si="12"/>
        <v>14</v>
      </c>
      <c r="F169" s="85" t="str">
        <f t="shared" si="13"/>
        <v>pm</v>
      </c>
      <c r="G169" s="85" t="s">
        <v>698</v>
      </c>
      <c r="H169" s="85" t="s">
        <v>175</v>
      </c>
      <c r="I169" s="85" t="s">
        <v>699</v>
      </c>
      <c r="K169" s="86">
        <f t="shared" si="14"/>
        <v>1823.7998106301316</v>
      </c>
      <c r="M169" s="86">
        <v>1800</v>
      </c>
      <c r="P169" s="85">
        <v>1823.7998106301316</v>
      </c>
    </row>
    <row r="170" spans="1:18" x14ac:dyDescent="0.3">
      <c r="A170" s="85">
        <v>7</v>
      </c>
      <c r="C170" s="85">
        <f t="shared" si="10"/>
        <v>54</v>
      </c>
      <c r="D170" s="85">
        <f t="shared" si="11"/>
        <v>54</v>
      </c>
      <c r="E170" s="85">
        <f t="shared" si="12"/>
        <v>14</v>
      </c>
      <c r="F170" s="85" t="str">
        <f t="shared" si="13"/>
        <v>pm</v>
      </c>
      <c r="G170" s="85" t="s">
        <v>289</v>
      </c>
      <c r="H170" s="85" t="s">
        <v>177</v>
      </c>
      <c r="I170" s="85" t="s">
        <v>290</v>
      </c>
      <c r="K170" s="86">
        <f t="shared" si="14"/>
        <v>1780.7398745438431</v>
      </c>
      <c r="M170" s="86">
        <v>1800</v>
      </c>
      <c r="N170" s="85">
        <v>1721.4653216549868</v>
      </c>
      <c r="P170" s="85">
        <v>1752.8007396123487</v>
      </c>
      <c r="R170" s="85">
        <v>1780.7398745438431</v>
      </c>
    </row>
    <row r="171" spans="1:18" x14ac:dyDescent="0.3">
      <c r="A171" s="85">
        <v>7</v>
      </c>
      <c r="C171" s="85">
        <f t="shared" si="10"/>
        <v>55</v>
      </c>
      <c r="D171" s="85">
        <f t="shared" si="11"/>
        <v>55</v>
      </c>
      <c r="E171" s="85">
        <f t="shared" si="12"/>
        <v>14</v>
      </c>
      <c r="F171" s="85" t="str">
        <f t="shared" si="13"/>
        <v>pm</v>
      </c>
      <c r="G171" s="85" t="s">
        <v>291</v>
      </c>
      <c r="H171" s="85" t="s">
        <v>177</v>
      </c>
      <c r="I171" s="85" t="s">
        <v>292</v>
      </c>
      <c r="K171" s="86">
        <f t="shared" si="14"/>
        <v>1775.4017276902916</v>
      </c>
      <c r="M171" s="86">
        <v>1800</v>
      </c>
      <c r="N171" s="85">
        <v>1748.298089197034</v>
      </c>
      <c r="P171" s="85">
        <v>1741.8980944244274</v>
      </c>
      <c r="R171" s="85">
        <v>1775.4017276902916</v>
      </c>
    </row>
    <row r="172" spans="1:18" x14ac:dyDescent="0.3">
      <c r="A172" s="85">
        <v>4</v>
      </c>
      <c r="C172" s="85">
        <f t="shared" si="10"/>
        <v>56</v>
      </c>
      <c r="D172" s="85">
        <f t="shared" si="11"/>
        <v>56</v>
      </c>
      <c r="E172" s="85">
        <f t="shared" si="12"/>
        <v>14</v>
      </c>
      <c r="F172" s="85" t="str">
        <f t="shared" si="13"/>
        <v>pm</v>
      </c>
      <c r="G172" s="85" t="s">
        <v>293</v>
      </c>
      <c r="H172" s="85" t="s">
        <v>177</v>
      </c>
      <c r="I172" s="85" t="s">
        <v>294</v>
      </c>
      <c r="K172" s="86">
        <f t="shared" si="14"/>
        <v>1598.9501464948451</v>
      </c>
      <c r="M172" s="86">
        <v>1800</v>
      </c>
      <c r="P172" s="85">
        <v>1678.3981971538039</v>
      </c>
      <c r="R172" s="85">
        <v>1598.9501464948451</v>
      </c>
    </row>
    <row r="173" spans="1:18" x14ac:dyDescent="0.3">
      <c r="A173" s="85">
        <v>6</v>
      </c>
      <c r="C173" s="85">
        <f t="shared" si="10"/>
        <v>57</v>
      </c>
      <c r="D173" s="85">
        <f t="shared" si="11"/>
        <v>57</v>
      </c>
      <c r="E173" s="85">
        <f t="shared" si="12"/>
        <v>14</v>
      </c>
      <c r="F173" s="85" t="str">
        <f t="shared" si="13"/>
        <v>pm</v>
      </c>
      <c r="G173" s="85" t="s">
        <v>295</v>
      </c>
      <c r="H173" s="85" t="s">
        <v>526</v>
      </c>
      <c r="I173" s="85" t="s">
        <v>296</v>
      </c>
      <c r="K173" s="86">
        <f t="shared" si="14"/>
        <v>1706.694063736214</v>
      </c>
      <c r="M173" s="86">
        <v>1800</v>
      </c>
      <c r="P173" s="85">
        <v>1761.038353768434</v>
      </c>
      <c r="R173" s="85">
        <v>1706.694063736214</v>
      </c>
    </row>
    <row r="174" spans="1:18" x14ac:dyDescent="0.3">
      <c r="A174" s="85">
        <v>4</v>
      </c>
      <c r="C174" s="85">
        <f t="shared" si="10"/>
        <v>58</v>
      </c>
      <c r="D174" s="85">
        <f t="shared" si="11"/>
        <v>58</v>
      </c>
      <c r="E174" s="85">
        <f t="shared" si="12"/>
        <v>14</v>
      </c>
      <c r="F174" s="85" t="str">
        <f t="shared" si="13"/>
        <v>pm</v>
      </c>
      <c r="G174" s="85" t="s">
        <v>700</v>
      </c>
      <c r="H174" s="85" t="s">
        <v>145</v>
      </c>
      <c r="I174" s="85" t="s">
        <v>701</v>
      </c>
      <c r="K174" s="86">
        <f t="shared" si="14"/>
        <v>1806.8060957823827</v>
      </c>
      <c r="M174" s="86">
        <v>1800</v>
      </c>
      <c r="N174" s="85">
        <v>1730.7050678538524</v>
      </c>
      <c r="P174" s="85">
        <v>1784.1499381650262</v>
      </c>
      <c r="R174" s="85">
        <v>1806.8060957823827</v>
      </c>
    </row>
    <row r="175" spans="1:18" x14ac:dyDescent="0.3">
      <c r="A175" s="85">
        <v>4</v>
      </c>
      <c r="C175" s="85">
        <f t="shared" si="10"/>
        <v>59</v>
      </c>
      <c r="D175" s="85">
        <f t="shared" si="11"/>
        <v>59</v>
      </c>
      <c r="E175" s="85">
        <f t="shared" si="12"/>
        <v>14</v>
      </c>
      <c r="F175" s="85" t="str">
        <f t="shared" si="13"/>
        <v>pm</v>
      </c>
      <c r="G175" s="85" t="s">
        <v>297</v>
      </c>
      <c r="H175" s="85" t="s">
        <v>182</v>
      </c>
      <c r="I175" s="85" t="s">
        <v>702</v>
      </c>
      <c r="K175" s="86">
        <f t="shared" si="14"/>
        <v>1771.2669066403137</v>
      </c>
      <c r="M175" s="86">
        <v>1800</v>
      </c>
      <c r="N175" s="85">
        <v>1811.7997841538452</v>
      </c>
      <c r="R175" s="85">
        <v>1771.2669066403137</v>
      </c>
    </row>
    <row r="176" spans="1:18" x14ac:dyDescent="0.3">
      <c r="A176" s="85">
        <v>7</v>
      </c>
      <c r="C176" s="85">
        <f t="shared" si="10"/>
        <v>60</v>
      </c>
      <c r="D176" s="85">
        <f t="shared" si="11"/>
        <v>60</v>
      </c>
      <c r="E176" s="85">
        <f t="shared" si="12"/>
        <v>14</v>
      </c>
      <c r="F176" s="85" t="str">
        <f t="shared" si="13"/>
        <v>pm</v>
      </c>
      <c r="G176" s="85" t="s">
        <v>703</v>
      </c>
      <c r="H176" s="85" t="s">
        <v>342</v>
      </c>
      <c r="I176" s="85" t="s">
        <v>704</v>
      </c>
      <c r="K176" s="86">
        <f t="shared" si="14"/>
        <v>1570.785810097577</v>
      </c>
      <c r="M176" s="86">
        <v>1800</v>
      </c>
      <c r="N176" s="85">
        <v>1682.2582324305545</v>
      </c>
      <c r="P176" s="85">
        <v>1602.9288959944686</v>
      </c>
      <c r="R176" s="85">
        <v>1570.785810097577</v>
      </c>
    </row>
    <row r="177" spans="1:18" x14ac:dyDescent="0.3">
      <c r="A177" s="85">
        <v>6</v>
      </c>
      <c r="C177" s="85">
        <f t="shared" si="10"/>
        <v>61</v>
      </c>
      <c r="D177" s="85">
        <f t="shared" si="11"/>
        <v>61</v>
      </c>
      <c r="E177" s="85">
        <f t="shared" si="12"/>
        <v>14</v>
      </c>
      <c r="F177" s="85" t="str">
        <f t="shared" si="13"/>
        <v>pm</v>
      </c>
      <c r="G177" s="85" t="s">
        <v>298</v>
      </c>
      <c r="H177" s="85" t="s">
        <v>186</v>
      </c>
      <c r="I177" s="85" t="s">
        <v>705</v>
      </c>
      <c r="K177" s="86">
        <f t="shared" si="14"/>
        <v>1752.5004295235969</v>
      </c>
      <c r="M177" s="86">
        <v>1800</v>
      </c>
      <c r="P177" s="85">
        <v>1751.778292751929</v>
      </c>
      <c r="R177" s="85">
        <v>1752.5004295235969</v>
      </c>
    </row>
    <row r="178" spans="1:18" x14ac:dyDescent="0.3">
      <c r="A178" s="85">
        <v>6</v>
      </c>
      <c r="C178" s="85">
        <f t="shared" si="10"/>
        <v>62</v>
      </c>
      <c r="D178" s="85">
        <f t="shared" si="11"/>
        <v>62</v>
      </c>
      <c r="E178" s="85">
        <f t="shared" si="12"/>
        <v>14</v>
      </c>
      <c r="F178" s="85" t="str">
        <f t="shared" si="13"/>
        <v>pm</v>
      </c>
      <c r="G178" s="85" t="s">
        <v>253</v>
      </c>
      <c r="H178" s="85" t="s">
        <v>186</v>
      </c>
      <c r="I178" s="85" t="s">
        <v>706</v>
      </c>
      <c r="K178" s="86">
        <f t="shared" si="14"/>
        <v>1811.1527197160931</v>
      </c>
      <c r="M178" s="86">
        <v>1800</v>
      </c>
      <c r="P178" s="85">
        <v>1768.1399790988805</v>
      </c>
      <c r="R178" s="85">
        <v>1811.1527197160931</v>
      </c>
    </row>
    <row r="179" spans="1:18" x14ac:dyDescent="0.3">
      <c r="A179" s="85">
        <v>6</v>
      </c>
      <c r="C179" s="85">
        <f t="shared" si="10"/>
        <v>63</v>
      </c>
      <c r="D179" s="85">
        <f t="shared" si="11"/>
        <v>63</v>
      </c>
      <c r="E179" s="85">
        <f t="shared" si="12"/>
        <v>14</v>
      </c>
      <c r="F179" s="85" t="str">
        <f t="shared" si="13"/>
        <v>pm</v>
      </c>
      <c r="G179" s="85" t="s">
        <v>707</v>
      </c>
      <c r="H179" s="85" t="s">
        <v>186</v>
      </c>
      <c r="I179" s="85" t="s">
        <v>708</v>
      </c>
      <c r="K179" s="86">
        <f t="shared" si="14"/>
        <v>1702.6419240174203</v>
      </c>
      <c r="M179" s="86">
        <v>1800</v>
      </c>
      <c r="P179" s="85">
        <v>1745.9218651374065</v>
      </c>
      <c r="R179" s="85">
        <v>1702.6419240174203</v>
      </c>
    </row>
    <row r="180" spans="1:18" x14ac:dyDescent="0.3">
      <c r="A180" s="85">
        <v>4</v>
      </c>
      <c r="C180" s="85">
        <f t="shared" si="10"/>
        <v>64</v>
      </c>
      <c r="D180" s="85">
        <f t="shared" si="11"/>
        <v>64</v>
      </c>
      <c r="E180" s="85">
        <f t="shared" si="12"/>
        <v>14</v>
      </c>
      <c r="F180" s="85" t="str">
        <f t="shared" si="13"/>
        <v>pm</v>
      </c>
      <c r="G180" s="85" t="s">
        <v>255</v>
      </c>
      <c r="H180" s="85" t="s">
        <v>150</v>
      </c>
      <c r="I180" s="85" t="s">
        <v>256</v>
      </c>
      <c r="K180" s="86">
        <f t="shared" si="14"/>
        <v>1785.9136433535382</v>
      </c>
      <c r="M180" s="86">
        <v>1800</v>
      </c>
      <c r="R180" s="85">
        <v>1785.9136433535382</v>
      </c>
    </row>
    <row r="181" spans="1:18" x14ac:dyDescent="0.3">
      <c r="A181" s="85">
        <v>7</v>
      </c>
      <c r="C181" s="85">
        <f t="shared" si="10"/>
        <v>65</v>
      </c>
      <c r="D181" s="85">
        <f t="shared" si="11"/>
        <v>65</v>
      </c>
      <c r="E181" s="85">
        <f t="shared" si="12"/>
        <v>14</v>
      </c>
      <c r="F181" s="85" t="str">
        <f t="shared" si="13"/>
        <v>pm</v>
      </c>
      <c r="G181" s="85" t="s">
        <v>299</v>
      </c>
      <c r="H181" s="85" t="s">
        <v>153</v>
      </c>
      <c r="I181" s="85" t="s">
        <v>709</v>
      </c>
      <c r="K181" s="86">
        <f t="shared" si="14"/>
        <v>1938.161029583184</v>
      </c>
      <c r="M181" s="86">
        <v>1800</v>
      </c>
      <c r="N181" s="85">
        <v>1821.545773518581</v>
      </c>
      <c r="P181" s="85">
        <v>1887.3848284110888</v>
      </c>
      <c r="R181" s="85">
        <v>1938.161029583184</v>
      </c>
    </row>
    <row r="182" spans="1:18" x14ac:dyDescent="0.3">
      <c r="A182" s="85">
        <v>5</v>
      </c>
      <c r="C182" s="85">
        <f t="shared" si="10"/>
        <v>66</v>
      </c>
      <c r="D182" s="85">
        <f t="shared" si="11"/>
        <v>66</v>
      </c>
      <c r="E182" s="85">
        <f t="shared" si="12"/>
        <v>14</v>
      </c>
      <c r="F182" s="85" t="str">
        <f t="shared" si="13"/>
        <v>pm</v>
      </c>
      <c r="G182" s="85" t="s">
        <v>259</v>
      </c>
      <c r="H182" s="85" t="s">
        <v>258</v>
      </c>
      <c r="I182" s="85" t="s">
        <v>710</v>
      </c>
      <c r="K182" s="86">
        <f t="shared" si="14"/>
        <v>1692.7325724666443</v>
      </c>
      <c r="M182" s="86">
        <v>1800</v>
      </c>
      <c r="N182" s="85">
        <v>1732.6432403106687</v>
      </c>
      <c r="P182" s="85">
        <v>1728.6570245875689</v>
      </c>
      <c r="R182" s="85">
        <v>1692.7325724666443</v>
      </c>
    </row>
    <row r="183" spans="1:18" x14ac:dyDescent="0.3">
      <c r="A183" s="85">
        <v>2</v>
      </c>
      <c r="C183" s="85">
        <f t="shared" si="10"/>
        <v>67</v>
      </c>
      <c r="D183" s="85">
        <f t="shared" si="11"/>
        <v>67</v>
      </c>
      <c r="E183" s="85">
        <f t="shared" si="12"/>
        <v>14</v>
      </c>
      <c r="F183" s="85" t="str">
        <f t="shared" si="13"/>
        <v>pm</v>
      </c>
      <c r="G183" s="85" t="s">
        <v>272</v>
      </c>
      <c r="H183" s="85" t="s">
        <v>206</v>
      </c>
      <c r="I183" s="85" t="s">
        <v>711</v>
      </c>
      <c r="K183" s="86">
        <f t="shared" si="14"/>
        <v>1766.0279354837069</v>
      </c>
      <c r="M183" s="86">
        <v>1800</v>
      </c>
      <c r="P183" s="85">
        <v>1766.0279354837069</v>
      </c>
    </row>
    <row r="184" spans="1:18" x14ac:dyDescent="0.3">
      <c r="A184" s="85">
        <v>2</v>
      </c>
      <c r="C184" s="85">
        <f t="shared" si="10"/>
        <v>68</v>
      </c>
      <c r="D184" s="85">
        <f t="shared" si="11"/>
        <v>68</v>
      </c>
      <c r="E184" s="85">
        <f t="shared" si="12"/>
        <v>14</v>
      </c>
      <c r="F184" s="85" t="str">
        <f t="shared" si="13"/>
        <v>pm</v>
      </c>
      <c r="G184" s="85" t="s">
        <v>712</v>
      </c>
      <c r="H184" s="85" t="s">
        <v>206</v>
      </c>
      <c r="I184" s="85" t="s">
        <v>713</v>
      </c>
      <c r="K184" s="86">
        <f t="shared" si="14"/>
        <v>1810.2573586424166</v>
      </c>
      <c r="M184" s="86">
        <v>1800</v>
      </c>
      <c r="P184" s="85">
        <v>1810.2573586424166</v>
      </c>
    </row>
    <row r="185" spans="1:18" x14ac:dyDescent="0.3">
      <c r="A185" s="85">
        <v>6</v>
      </c>
      <c r="C185" s="85">
        <f t="shared" si="10"/>
        <v>69</v>
      </c>
      <c r="D185" s="85">
        <f t="shared" si="11"/>
        <v>69</v>
      </c>
      <c r="E185" s="85">
        <f t="shared" si="12"/>
        <v>14</v>
      </c>
      <c r="F185" s="85" t="str">
        <f t="shared" si="13"/>
        <v>pm</v>
      </c>
      <c r="G185" s="85" t="s">
        <v>303</v>
      </c>
      <c r="H185" s="85" t="s">
        <v>562</v>
      </c>
      <c r="I185" s="85" t="s">
        <v>304</v>
      </c>
      <c r="K185" s="86">
        <f t="shared" si="14"/>
        <v>1995.5262938549226</v>
      </c>
      <c r="M185" s="86">
        <v>1800</v>
      </c>
      <c r="N185" s="85">
        <v>1880.956617928209</v>
      </c>
      <c r="P185" s="85">
        <v>1962.7409125642057</v>
      </c>
      <c r="R185" s="85">
        <v>1995.5262938549226</v>
      </c>
    </row>
    <row r="186" spans="1:18" x14ac:dyDescent="0.3">
      <c r="A186" s="85">
        <v>4</v>
      </c>
      <c r="C186" s="85">
        <f t="shared" si="10"/>
        <v>70</v>
      </c>
      <c r="D186" s="85">
        <f t="shared" si="11"/>
        <v>70</v>
      </c>
      <c r="E186" s="85">
        <f t="shared" si="12"/>
        <v>14</v>
      </c>
      <c r="F186" s="85" t="str">
        <f t="shared" si="13"/>
        <v>pm</v>
      </c>
      <c r="G186" s="85" t="s">
        <v>305</v>
      </c>
      <c r="H186" s="85" t="s">
        <v>562</v>
      </c>
      <c r="I186" s="85" t="s">
        <v>306</v>
      </c>
      <c r="K186" s="86">
        <f t="shared" si="14"/>
        <v>1808.9514445376726</v>
      </c>
      <c r="M186" s="86">
        <v>1800</v>
      </c>
      <c r="P186" s="85">
        <v>1830.0459906244043</v>
      </c>
      <c r="R186" s="85">
        <v>1808.9514445376726</v>
      </c>
    </row>
    <row r="187" spans="1:18" x14ac:dyDescent="0.3">
      <c r="A187" s="85">
        <v>1</v>
      </c>
      <c r="C187" s="85">
        <f t="shared" si="10"/>
        <v>71</v>
      </c>
      <c r="D187" s="85">
        <f t="shared" si="11"/>
        <v>71</v>
      </c>
      <c r="E187" s="85">
        <f t="shared" si="12"/>
        <v>14</v>
      </c>
      <c r="F187" s="85" t="str">
        <f t="shared" si="13"/>
        <v>pmx</v>
      </c>
      <c r="G187" s="85" t="s">
        <v>714</v>
      </c>
      <c r="H187" s="85" t="s">
        <v>159</v>
      </c>
      <c r="I187" s="85" t="s">
        <v>715</v>
      </c>
      <c r="K187" s="86">
        <f t="shared" si="14"/>
        <v>1800</v>
      </c>
      <c r="M187" s="86">
        <v>1800</v>
      </c>
    </row>
    <row r="188" spans="1:18" x14ac:dyDescent="0.3">
      <c r="A188" s="85">
        <v>1</v>
      </c>
      <c r="C188" s="85">
        <f t="shared" si="10"/>
        <v>72</v>
      </c>
      <c r="D188" s="85">
        <f t="shared" si="11"/>
        <v>72</v>
      </c>
      <c r="E188" s="85">
        <f t="shared" si="12"/>
        <v>14</v>
      </c>
      <c r="F188" s="85" t="str">
        <f t="shared" si="13"/>
        <v>crx</v>
      </c>
      <c r="G188" s="85" t="s">
        <v>716</v>
      </c>
      <c r="H188" s="85" t="s">
        <v>717</v>
      </c>
      <c r="I188" s="85" t="s">
        <v>718</v>
      </c>
      <c r="K188" s="86">
        <f t="shared" si="14"/>
        <v>1886.3108315496688</v>
      </c>
      <c r="M188" s="86">
        <v>1800</v>
      </c>
      <c r="N188" s="85">
        <v>1886.3108315496688</v>
      </c>
    </row>
    <row r="189" spans="1:18" x14ac:dyDescent="0.3">
      <c r="A189" s="85">
        <v>3</v>
      </c>
      <c r="C189" s="85">
        <f t="shared" si="10"/>
        <v>73</v>
      </c>
      <c r="D189" s="85">
        <f t="shared" si="11"/>
        <v>73</v>
      </c>
      <c r="E189" s="85">
        <f t="shared" si="12"/>
        <v>14</v>
      </c>
      <c r="F189" s="85" t="str">
        <f t="shared" si="13"/>
        <v>cr</v>
      </c>
      <c r="G189" s="85" t="s">
        <v>437</v>
      </c>
      <c r="H189" s="85" t="s">
        <v>495</v>
      </c>
      <c r="I189" s="85" t="s">
        <v>438</v>
      </c>
      <c r="K189" s="86">
        <f t="shared" si="14"/>
        <v>1830.8290630777483</v>
      </c>
      <c r="M189" s="86">
        <v>1800</v>
      </c>
      <c r="P189" s="85">
        <v>1830.8290630777483</v>
      </c>
    </row>
    <row r="190" spans="1:18" x14ac:dyDescent="0.3">
      <c r="A190" s="85">
        <v>3</v>
      </c>
      <c r="C190" s="85">
        <f t="shared" si="10"/>
        <v>74</v>
      </c>
      <c r="D190" s="85">
        <f t="shared" si="11"/>
        <v>74</v>
      </c>
      <c r="E190" s="85">
        <f t="shared" si="12"/>
        <v>14</v>
      </c>
      <c r="F190" s="85" t="str">
        <f t="shared" si="13"/>
        <v>cr</v>
      </c>
      <c r="G190" s="85" t="s">
        <v>719</v>
      </c>
      <c r="H190" s="85" t="s">
        <v>495</v>
      </c>
      <c r="I190" s="85" t="s">
        <v>720</v>
      </c>
      <c r="K190" s="86">
        <f t="shared" si="14"/>
        <v>1771.2603191576552</v>
      </c>
      <c r="M190" s="86">
        <v>1800</v>
      </c>
      <c r="P190" s="85">
        <v>1771.2603191576552</v>
      </c>
    </row>
    <row r="191" spans="1:18" x14ac:dyDescent="0.3">
      <c r="A191" s="85">
        <v>2</v>
      </c>
      <c r="C191" s="85">
        <f t="shared" si="10"/>
        <v>75</v>
      </c>
      <c r="D191" s="85">
        <f t="shared" si="11"/>
        <v>75</v>
      </c>
      <c r="E191" s="85">
        <f t="shared" si="12"/>
        <v>14</v>
      </c>
      <c r="F191" s="85" t="str">
        <f t="shared" si="13"/>
        <v>cr</v>
      </c>
      <c r="G191" s="85" t="s">
        <v>721</v>
      </c>
      <c r="H191" s="85" t="s">
        <v>722</v>
      </c>
      <c r="I191" s="85" t="s">
        <v>723</v>
      </c>
      <c r="K191" s="86">
        <f t="shared" si="14"/>
        <v>1800</v>
      </c>
      <c r="M191" s="86">
        <v>1800</v>
      </c>
    </row>
    <row r="192" spans="1:18" x14ac:dyDescent="0.3">
      <c r="A192" s="85">
        <v>1</v>
      </c>
      <c r="C192" s="85">
        <f t="shared" si="10"/>
        <v>76</v>
      </c>
      <c r="D192" s="85">
        <f t="shared" si="11"/>
        <v>76</v>
      </c>
      <c r="E192" s="85">
        <f t="shared" si="12"/>
        <v>14</v>
      </c>
      <c r="F192" s="85" t="str">
        <f t="shared" si="13"/>
        <v>crx</v>
      </c>
      <c r="G192" s="85" t="s">
        <v>724</v>
      </c>
      <c r="H192" s="85" t="s">
        <v>546</v>
      </c>
      <c r="I192" s="85" t="s">
        <v>725</v>
      </c>
      <c r="K192" s="86">
        <f t="shared" si="14"/>
        <v>1860.5893791805602</v>
      </c>
      <c r="M192" s="86">
        <v>1800</v>
      </c>
      <c r="P192" s="85">
        <v>1860.5893791805602</v>
      </c>
    </row>
    <row r="193" spans="1:18" x14ac:dyDescent="0.3">
      <c r="A193" s="85">
        <v>1</v>
      </c>
      <c r="C193" s="85">
        <f t="shared" si="10"/>
        <v>77</v>
      </c>
      <c r="D193" s="85">
        <f t="shared" si="11"/>
        <v>77</v>
      </c>
      <c r="E193" s="85">
        <f t="shared" si="12"/>
        <v>14</v>
      </c>
      <c r="F193" s="85" t="str">
        <f t="shared" si="13"/>
        <v>crx</v>
      </c>
      <c r="G193" s="85" t="s">
        <v>726</v>
      </c>
      <c r="H193" s="85" t="s">
        <v>546</v>
      </c>
      <c r="I193" s="85" t="s">
        <v>727</v>
      </c>
      <c r="K193" s="86">
        <f t="shared" si="14"/>
        <v>1713.778127804924</v>
      </c>
      <c r="M193" s="86">
        <v>1800</v>
      </c>
      <c r="P193" s="85">
        <v>1713.778127804924</v>
      </c>
    </row>
    <row r="194" spans="1:18" x14ac:dyDescent="0.3">
      <c r="A194" s="85">
        <v>3</v>
      </c>
      <c r="C194" s="85">
        <f t="shared" ref="C194:C257" si="15">IF(E194=E193,C193+1,1)</f>
        <v>78</v>
      </c>
      <c r="D194" s="85">
        <f t="shared" ref="D194:D257" si="16">IF(K194=K193,D193,C194)</f>
        <v>78</v>
      </c>
      <c r="E194" s="85">
        <f t="shared" ref="E194:E257" si="17">10+VALUE(RIGHT(LEFT(G194,3),1))</f>
        <v>14</v>
      </c>
      <c r="F194" s="85" t="str">
        <f t="shared" ref="F194:F257" si="18">RIGHT(G194,2) &amp; IF(A194&lt;2,"x","")</f>
        <v>cr</v>
      </c>
      <c r="G194" s="85" t="s">
        <v>728</v>
      </c>
      <c r="H194" s="85" t="s">
        <v>729</v>
      </c>
      <c r="I194" s="85" t="s">
        <v>730</v>
      </c>
      <c r="K194" s="86">
        <f t="shared" ref="K194:K257" si="19">LOOKUP(1E+100,M194:AB194)</f>
        <v>1914.3121448868815</v>
      </c>
      <c r="M194" s="86">
        <v>1800</v>
      </c>
      <c r="P194" s="85">
        <v>1914.3121448868815</v>
      </c>
    </row>
    <row r="195" spans="1:18" x14ac:dyDescent="0.3">
      <c r="A195" s="85">
        <v>3</v>
      </c>
      <c r="C195" s="85">
        <f t="shared" si="15"/>
        <v>79</v>
      </c>
      <c r="D195" s="85">
        <f t="shared" si="16"/>
        <v>79</v>
      </c>
      <c r="E195" s="85">
        <f t="shared" si="17"/>
        <v>14</v>
      </c>
      <c r="F195" s="85" t="str">
        <f t="shared" si="18"/>
        <v>cr</v>
      </c>
      <c r="G195" s="85" t="s">
        <v>731</v>
      </c>
      <c r="H195" s="85" t="s">
        <v>628</v>
      </c>
      <c r="I195" s="85" t="s">
        <v>732</v>
      </c>
      <c r="K195" s="86">
        <f t="shared" si="19"/>
        <v>1727.6850568077496</v>
      </c>
      <c r="M195" s="86">
        <v>1800</v>
      </c>
      <c r="R195" s="85">
        <v>1727.6850568077496</v>
      </c>
    </row>
    <row r="196" spans="1:18" x14ac:dyDescent="0.3">
      <c r="A196" s="85">
        <v>2</v>
      </c>
      <c r="C196" s="85">
        <f t="shared" si="15"/>
        <v>80</v>
      </c>
      <c r="D196" s="85">
        <f t="shared" si="16"/>
        <v>80</v>
      </c>
      <c r="E196" s="85">
        <f t="shared" si="17"/>
        <v>14</v>
      </c>
      <c r="F196" s="85" t="str">
        <f t="shared" si="18"/>
        <v>cr</v>
      </c>
      <c r="G196" s="85" t="s">
        <v>733</v>
      </c>
      <c r="H196" s="85" t="s">
        <v>734</v>
      </c>
      <c r="I196" s="85" t="s">
        <v>735</v>
      </c>
      <c r="K196" s="86">
        <f t="shared" si="19"/>
        <v>1909.034614925085</v>
      </c>
      <c r="M196" s="86">
        <v>1800</v>
      </c>
      <c r="R196" s="85">
        <v>1909.034614925085</v>
      </c>
    </row>
    <row r="197" spans="1:18" x14ac:dyDescent="0.3">
      <c r="A197" s="85">
        <v>2</v>
      </c>
      <c r="C197" s="85">
        <f t="shared" si="15"/>
        <v>81</v>
      </c>
      <c r="D197" s="85">
        <f t="shared" si="16"/>
        <v>81</v>
      </c>
      <c r="E197" s="85">
        <f t="shared" si="17"/>
        <v>14</v>
      </c>
      <c r="F197" s="85" t="str">
        <f t="shared" si="18"/>
        <v>cr</v>
      </c>
      <c r="G197" s="85" t="s">
        <v>736</v>
      </c>
      <c r="H197" s="85" t="s">
        <v>734</v>
      </c>
      <c r="I197" s="85" t="s">
        <v>737</v>
      </c>
      <c r="K197" s="86">
        <f t="shared" si="19"/>
        <v>1896.4875389308431</v>
      </c>
      <c r="M197" s="86">
        <v>1800</v>
      </c>
      <c r="R197" s="85">
        <v>1896.4875389308431</v>
      </c>
    </row>
    <row r="198" spans="1:18" x14ac:dyDescent="0.3">
      <c r="A198" s="85">
        <v>1</v>
      </c>
      <c r="C198" s="85">
        <f t="shared" si="15"/>
        <v>82</v>
      </c>
      <c r="D198" s="85">
        <f t="shared" si="16"/>
        <v>82</v>
      </c>
      <c r="E198" s="85">
        <f t="shared" si="17"/>
        <v>14</v>
      </c>
      <c r="F198" s="85" t="str">
        <f t="shared" si="18"/>
        <v>crx</v>
      </c>
      <c r="G198" s="85" t="s">
        <v>738</v>
      </c>
      <c r="H198" s="85" t="s">
        <v>739</v>
      </c>
      <c r="I198" s="85" t="s">
        <v>740</v>
      </c>
      <c r="K198" s="86">
        <f t="shared" si="19"/>
        <v>1800</v>
      </c>
      <c r="M198" s="86">
        <v>1800</v>
      </c>
    </row>
    <row r="199" spans="1:18" x14ac:dyDescent="0.3">
      <c r="A199" s="85">
        <v>1</v>
      </c>
      <c r="C199" s="85">
        <f t="shared" si="15"/>
        <v>83</v>
      </c>
      <c r="D199" s="85">
        <f t="shared" si="16"/>
        <v>82</v>
      </c>
      <c r="E199" s="85">
        <f t="shared" si="17"/>
        <v>14</v>
      </c>
      <c r="F199" s="85" t="str">
        <f t="shared" si="18"/>
        <v>sox</v>
      </c>
      <c r="G199" s="85" t="s">
        <v>741</v>
      </c>
      <c r="H199" s="85" t="s">
        <v>582</v>
      </c>
      <c r="I199" s="85" t="s">
        <v>742</v>
      </c>
      <c r="K199" s="86">
        <f t="shared" si="19"/>
        <v>1800</v>
      </c>
      <c r="M199" s="86">
        <v>1800</v>
      </c>
    </row>
    <row r="200" spans="1:18" x14ac:dyDescent="0.3">
      <c r="A200" s="85">
        <v>1</v>
      </c>
      <c r="C200" s="85">
        <f t="shared" si="15"/>
        <v>84</v>
      </c>
      <c r="D200" s="85">
        <f t="shared" si="16"/>
        <v>82</v>
      </c>
      <c r="E200" s="85">
        <f t="shared" si="17"/>
        <v>14</v>
      </c>
      <c r="F200" s="85" t="str">
        <f t="shared" si="18"/>
        <v>sox</v>
      </c>
      <c r="G200" s="85" t="s">
        <v>743</v>
      </c>
      <c r="H200" s="85" t="s">
        <v>582</v>
      </c>
      <c r="I200" s="85" t="s">
        <v>744</v>
      </c>
      <c r="K200" s="86">
        <f t="shared" si="19"/>
        <v>1800</v>
      </c>
      <c r="M200" s="86">
        <v>1800</v>
      </c>
    </row>
    <row r="201" spans="1:18" x14ac:dyDescent="0.3">
      <c r="A201" s="85">
        <v>1</v>
      </c>
      <c r="C201" s="85">
        <f t="shared" si="15"/>
        <v>85</v>
      </c>
      <c r="D201" s="85">
        <f t="shared" si="16"/>
        <v>82</v>
      </c>
      <c r="E201" s="85">
        <f t="shared" si="17"/>
        <v>14</v>
      </c>
      <c r="F201" s="85" t="str">
        <f t="shared" si="18"/>
        <v>sox</v>
      </c>
      <c r="G201" s="85" t="s">
        <v>745</v>
      </c>
      <c r="H201" s="85" t="s">
        <v>746</v>
      </c>
      <c r="I201" s="85" t="s">
        <v>747</v>
      </c>
      <c r="K201" s="86">
        <f t="shared" si="19"/>
        <v>1800</v>
      </c>
      <c r="M201" s="86">
        <v>1800</v>
      </c>
    </row>
    <row r="202" spans="1:18" x14ac:dyDescent="0.3">
      <c r="A202" s="85">
        <v>2</v>
      </c>
      <c r="C202" s="85">
        <f t="shared" si="15"/>
        <v>1</v>
      </c>
      <c r="D202" s="85">
        <f t="shared" si="16"/>
        <v>1</v>
      </c>
      <c r="E202" s="85">
        <f t="shared" si="17"/>
        <v>15</v>
      </c>
      <c r="F202" s="85" t="str">
        <f t="shared" si="18"/>
        <v>pm</v>
      </c>
      <c r="G202" s="85" t="s">
        <v>309</v>
      </c>
      <c r="H202" s="85" t="s">
        <v>144</v>
      </c>
      <c r="I202" s="85" t="s">
        <v>310</v>
      </c>
      <c r="K202" s="86">
        <f t="shared" si="19"/>
        <v>2484.3590950265307</v>
      </c>
      <c r="M202" s="86">
        <v>2400</v>
      </c>
      <c r="Q202" s="85">
        <v>2484.3590950265307</v>
      </c>
    </row>
    <row r="203" spans="1:18" x14ac:dyDescent="0.3">
      <c r="A203" s="85">
        <v>4</v>
      </c>
      <c r="C203" s="85">
        <f t="shared" si="15"/>
        <v>2</v>
      </c>
      <c r="D203" s="85">
        <f t="shared" si="16"/>
        <v>2</v>
      </c>
      <c r="E203" s="85">
        <f t="shared" si="17"/>
        <v>15</v>
      </c>
      <c r="F203" s="85" t="str">
        <f t="shared" si="18"/>
        <v>pm</v>
      </c>
      <c r="G203" s="85" t="s">
        <v>311</v>
      </c>
      <c r="H203" s="85" t="s">
        <v>144</v>
      </c>
      <c r="I203" s="85" t="s">
        <v>312</v>
      </c>
      <c r="K203" s="86">
        <f t="shared" si="19"/>
        <v>2441.2340844359674</v>
      </c>
      <c r="M203" s="86">
        <v>2400</v>
      </c>
      <c r="P203" s="85">
        <v>2441.2340844359674</v>
      </c>
    </row>
    <row r="204" spans="1:18" x14ac:dyDescent="0.3">
      <c r="A204" s="85">
        <v>4</v>
      </c>
      <c r="C204" s="85">
        <f t="shared" si="15"/>
        <v>3</v>
      </c>
      <c r="D204" s="85">
        <f t="shared" si="16"/>
        <v>3</v>
      </c>
      <c r="E204" s="85">
        <f t="shared" si="17"/>
        <v>15</v>
      </c>
      <c r="F204" s="85" t="str">
        <f t="shared" si="18"/>
        <v>pm</v>
      </c>
      <c r="G204" s="85" t="s">
        <v>313</v>
      </c>
      <c r="H204" s="85" t="s">
        <v>144</v>
      </c>
      <c r="I204" s="85" t="s">
        <v>314</v>
      </c>
      <c r="K204" s="86">
        <f t="shared" si="19"/>
        <v>2336.1202937617072</v>
      </c>
      <c r="M204" s="86">
        <v>2400</v>
      </c>
      <c r="P204" s="85">
        <v>2336.1202937617072</v>
      </c>
    </row>
    <row r="205" spans="1:18" x14ac:dyDescent="0.3">
      <c r="A205" s="85">
        <v>3</v>
      </c>
      <c r="C205" s="85">
        <f t="shared" si="15"/>
        <v>4</v>
      </c>
      <c r="D205" s="85">
        <f t="shared" si="16"/>
        <v>4</v>
      </c>
      <c r="E205" s="85">
        <f t="shared" si="17"/>
        <v>15</v>
      </c>
      <c r="F205" s="85" t="str">
        <f t="shared" si="18"/>
        <v>pm</v>
      </c>
      <c r="G205" s="85" t="s">
        <v>748</v>
      </c>
      <c r="H205" s="85" t="s">
        <v>175</v>
      </c>
      <c r="I205" s="85" t="s">
        <v>749</v>
      </c>
      <c r="K205" s="86">
        <f t="shared" si="19"/>
        <v>2381.8589517504856</v>
      </c>
      <c r="M205" s="86">
        <v>2400</v>
      </c>
      <c r="O205" s="85">
        <v>2467.3184086886131</v>
      </c>
      <c r="P205" s="85">
        <v>2381.8589517504856</v>
      </c>
    </row>
    <row r="206" spans="1:18" x14ac:dyDescent="0.3">
      <c r="A206" s="85">
        <v>2</v>
      </c>
      <c r="C206" s="85">
        <f t="shared" si="15"/>
        <v>5</v>
      </c>
      <c r="D206" s="85">
        <f t="shared" si="16"/>
        <v>5</v>
      </c>
      <c r="E206" s="85">
        <f t="shared" si="17"/>
        <v>15</v>
      </c>
      <c r="F206" s="85" t="str">
        <f t="shared" si="18"/>
        <v>pm</v>
      </c>
      <c r="G206" s="85" t="s">
        <v>750</v>
      </c>
      <c r="H206" s="85" t="s">
        <v>175</v>
      </c>
      <c r="I206" s="85" t="s">
        <v>751</v>
      </c>
      <c r="K206" s="86">
        <f t="shared" si="19"/>
        <v>2417.874790352118</v>
      </c>
      <c r="M206" s="86">
        <v>2400</v>
      </c>
      <c r="P206" s="85">
        <v>2417.874790352118</v>
      </c>
    </row>
    <row r="207" spans="1:18" x14ac:dyDescent="0.3">
      <c r="A207" s="85">
        <v>5</v>
      </c>
      <c r="C207" s="85">
        <f t="shared" si="15"/>
        <v>6</v>
      </c>
      <c r="D207" s="85">
        <f t="shared" si="16"/>
        <v>6</v>
      </c>
      <c r="E207" s="85">
        <f t="shared" si="17"/>
        <v>15</v>
      </c>
      <c r="F207" s="85" t="str">
        <f t="shared" si="18"/>
        <v>pm</v>
      </c>
      <c r="G207" s="85" t="s">
        <v>316</v>
      </c>
      <c r="H207" s="85" t="s">
        <v>177</v>
      </c>
      <c r="I207" s="85" t="s">
        <v>317</v>
      </c>
      <c r="K207" s="86">
        <f t="shared" si="19"/>
        <v>2488.6021924687675</v>
      </c>
      <c r="M207" s="86">
        <v>2400</v>
      </c>
      <c r="P207" s="85">
        <v>2471.4438748412722</v>
      </c>
      <c r="Q207" s="85">
        <v>2488.6021924687675</v>
      </c>
    </row>
    <row r="208" spans="1:18" x14ac:dyDescent="0.3">
      <c r="A208" s="85">
        <v>6</v>
      </c>
      <c r="C208" s="85">
        <f t="shared" si="15"/>
        <v>7</v>
      </c>
      <c r="D208" s="85">
        <f t="shared" si="16"/>
        <v>7</v>
      </c>
      <c r="E208" s="85">
        <f t="shared" si="17"/>
        <v>15</v>
      </c>
      <c r="F208" s="85" t="str">
        <f t="shared" si="18"/>
        <v>pm</v>
      </c>
      <c r="G208" s="85" t="s">
        <v>332</v>
      </c>
      <c r="H208" s="85" t="s">
        <v>177</v>
      </c>
      <c r="I208" s="85" t="s">
        <v>333</v>
      </c>
      <c r="K208" s="86">
        <f t="shared" si="19"/>
        <v>2324.3104703248537</v>
      </c>
      <c r="M208" s="86">
        <v>2400</v>
      </c>
      <c r="O208" s="85">
        <v>2441.8185825032424</v>
      </c>
      <c r="P208" s="85">
        <v>2351.0458116269024</v>
      </c>
      <c r="Q208" s="85">
        <v>2324.3104703248537</v>
      </c>
    </row>
    <row r="209" spans="1:17" x14ac:dyDescent="0.3">
      <c r="A209" s="85">
        <v>3</v>
      </c>
      <c r="C209" s="85">
        <f t="shared" si="15"/>
        <v>8</v>
      </c>
      <c r="D209" s="85">
        <f t="shared" si="16"/>
        <v>8</v>
      </c>
      <c r="E209" s="85">
        <f t="shared" si="17"/>
        <v>15</v>
      </c>
      <c r="F209" s="85" t="str">
        <f t="shared" si="18"/>
        <v>pm</v>
      </c>
      <c r="G209" s="85" t="s">
        <v>318</v>
      </c>
      <c r="H209" s="85" t="s">
        <v>186</v>
      </c>
      <c r="I209" s="85" t="s">
        <v>752</v>
      </c>
      <c r="K209" s="86">
        <f t="shared" si="19"/>
        <v>2400</v>
      </c>
      <c r="M209" s="86">
        <v>2400</v>
      </c>
    </row>
    <row r="210" spans="1:17" x14ac:dyDescent="0.3">
      <c r="A210" s="85">
        <v>3</v>
      </c>
      <c r="C210" s="85">
        <f t="shared" si="15"/>
        <v>9</v>
      </c>
      <c r="D210" s="85">
        <f t="shared" si="16"/>
        <v>8</v>
      </c>
      <c r="E210" s="85">
        <f t="shared" si="17"/>
        <v>15</v>
      </c>
      <c r="F210" s="85" t="str">
        <f t="shared" si="18"/>
        <v>pm</v>
      </c>
      <c r="G210" s="85" t="s">
        <v>319</v>
      </c>
      <c r="H210" s="85" t="s">
        <v>186</v>
      </c>
      <c r="I210" s="85" t="s">
        <v>753</v>
      </c>
      <c r="K210" s="86">
        <f t="shared" si="19"/>
        <v>2400</v>
      </c>
      <c r="M210" s="86">
        <v>2400</v>
      </c>
    </row>
    <row r="211" spans="1:17" x14ac:dyDescent="0.3">
      <c r="A211" s="85">
        <v>4</v>
      </c>
      <c r="C211" s="85">
        <f t="shared" si="15"/>
        <v>10</v>
      </c>
      <c r="D211" s="85">
        <f t="shared" si="16"/>
        <v>10</v>
      </c>
      <c r="E211" s="85">
        <f t="shared" si="17"/>
        <v>15</v>
      </c>
      <c r="F211" s="85" t="str">
        <f t="shared" si="18"/>
        <v>pm</v>
      </c>
      <c r="G211" s="85" t="s">
        <v>320</v>
      </c>
      <c r="H211" s="85" t="s">
        <v>186</v>
      </c>
      <c r="I211" s="85" t="s">
        <v>754</v>
      </c>
      <c r="K211" s="86">
        <f t="shared" si="19"/>
        <v>2393.1790713515361</v>
      </c>
      <c r="M211" s="86">
        <v>2400</v>
      </c>
      <c r="O211" s="85">
        <v>2393.1790713515361</v>
      </c>
    </row>
    <row r="212" spans="1:17" x14ac:dyDescent="0.3">
      <c r="A212" s="85">
        <v>3</v>
      </c>
      <c r="C212" s="85">
        <f t="shared" si="15"/>
        <v>11</v>
      </c>
      <c r="D212" s="85">
        <f t="shared" si="16"/>
        <v>11</v>
      </c>
      <c r="E212" s="85">
        <f t="shared" si="17"/>
        <v>15</v>
      </c>
      <c r="F212" s="85" t="str">
        <f t="shared" si="18"/>
        <v>pm</v>
      </c>
      <c r="G212" s="85" t="s">
        <v>755</v>
      </c>
      <c r="H212" s="85" t="s">
        <v>186</v>
      </c>
      <c r="I212" s="85" t="s">
        <v>756</v>
      </c>
      <c r="K212" s="86">
        <f t="shared" si="19"/>
        <v>2296.1318958952461</v>
      </c>
      <c r="M212" s="86">
        <v>2400</v>
      </c>
      <c r="P212" s="85">
        <v>2296.1318958952461</v>
      </c>
    </row>
    <row r="213" spans="1:17" x14ac:dyDescent="0.3">
      <c r="A213" s="85">
        <v>5</v>
      </c>
      <c r="C213" s="85">
        <f t="shared" si="15"/>
        <v>12</v>
      </c>
      <c r="D213" s="85">
        <f t="shared" si="16"/>
        <v>12</v>
      </c>
      <c r="E213" s="85">
        <f t="shared" si="17"/>
        <v>15</v>
      </c>
      <c r="F213" s="85" t="str">
        <f t="shared" si="18"/>
        <v>pm</v>
      </c>
      <c r="G213" s="85" t="s">
        <v>757</v>
      </c>
      <c r="H213" s="85" t="s">
        <v>186</v>
      </c>
      <c r="I213" s="85" t="s">
        <v>758</v>
      </c>
      <c r="K213" s="86">
        <f t="shared" si="19"/>
        <v>2214.9034629732682</v>
      </c>
      <c r="M213" s="86">
        <v>2400</v>
      </c>
      <c r="O213" s="85">
        <v>2298.8859045016379</v>
      </c>
      <c r="Q213" s="85">
        <v>2214.9034629732682</v>
      </c>
    </row>
    <row r="214" spans="1:17" x14ac:dyDescent="0.3">
      <c r="A214" s="85">
        <v>3</v>
      </c>
      <c r="C214" s="85">
        <f t="shared" si="15"/>
        <v>13</v>
      </c>
      <c r="D214" s="85">
        <f t="shared" si="16"/>
        <v>13</v>
      </c>
      <c r="E214" s="85">
        <f t="shared" si="17"/>
        <v>15</v>
      </c>
      <c r="F214" s="85" t="str">
        <f t="shared" si="18"/>
        <v>pm</v>
      </c>
      <c r="G214" s="85" t="s">
        <v>759</v>
      </c>
      <c r="H214" s="85" t="s">
        <v>760</v>
      </c>
      <c r="I214" s="85" t="s">
        <v>761</v>
      </c>
      <c r="K214" s="86">
        <f t="shared" si="19"/>
        <v>2253.2352312431462</v>
      </c>
      <c r="M214" s="86">
        <v>2400</v>
      </c>
      <c r="P214" s="85">
        <v>2333.6714401541003</v>
      </c>
      <c r="Q214" s="85">
        <v>2253.2352312431462</v>
      </c>
    </row>
    <row r="215" spans="1:17" x14ac:dyDescent="0.3">
      <c r="A215" s="85">
        <v>7</v>
      </c>
      <c r="C215" s="85">
        <f t="shared" si="15"/>
        <v>14</v>
      </c>
      <c r="D215" s="85">
        <f t="shared" si="16"/>
        <v>14</v>
      </c>
      <c r="E215" s="85">
        <f t="shared" si="17"/>
        <v>15</v>
      </c>
      <c r="F215" s="85" t="str">
        <f t="shared" si="18"/>
        <v>pm</v>
      </c>
      <c r="G215" s="85" t="s">
        <v>321</v>
      </c>
      <c r="H215" s="85" t="s">
        <v>153</v>
      </c>
      <c r="I215" s="85" t="s">
        <v>762</v>
      </c>
      <c r="K215" s="86">
        <f t="shared" si="19"/>
        <v>2403.0230635787598</v>
      </c>
      <c r="M215" s="86">
        <v>2400</v>
      </c>
      <c r="O215" s="85">
        <v>2440.2205530331553</v>
      </c>
      <c r="P215" s="85">
        <v>2407.569219000482</v>
      </c>
      <c r="Q215" s="85">
        <v>2403.0230635787598</v>
      </c>
    </row>
    <row r="216" spans="1:17" x14ac:dyDescent="0.3">
      <c r="A216" s="85">
        <v>2</v>
      </c>
      <c r="C216" s="85">
        <f t="shared" si="15"/>
        <v>15</v>
      </c>
      <c r="D216" s="85">
        <f t="shared" si="16"/>
        <v>15</v>
      </c>
      <c r="E216" s="85">
        <f t="shared" si="17"/>
        <v>15</v>
      </c>
      <c r="F216" s="85" t="str">
        <f t="shared" si="18"/>
        <v>pm</v>
      </c>
      <c r="G216" s="85" t="s">
        <v>763</v>
      </c>
      <c r="H216" s="85" t="s">
        <v>258</v>
      </c>
      <c r="I216" s="85" t="s">
        <v>764</v>
      </c>
      <c r="K216" s="86">
        <f t="shared" si="19"/>
        <v>2490.4097268780183</v>
      </c>
      <c r="M216" s="86">
        <v>2400</v>
      </c>
      <c r="P216" s="85">
        <v>2490.4097268780183</v>
      </c>
    </row>
    <row r="217" spans="1:17" x14ac:dyDescent="0.3">
      <c r="A217" s="85">
        <v>2</v>
      </c>
      <c r="C217" s="85">
        <f t="shared" si="15"/>
        <v>16</v>
      </c>
      <c r="D217" s="85">
        <f t="shared" si="16"/>
        <v>16</v>
      </c>
      <c r="E217" s="85">
        <f t="shared" si="17"/>
        <v>15</v>
      </c>
      <c r="F217" s="85" t="str">
        <f t="shared" si="18"/>
        <v>pm</v>
      </c>
      <c r="G217" s="85" t="s">
        <v>324</v>
      </c>
      <c r="H217" s="85" t="s">
        <v>163</v>
      </c>
      <c r="I217" s="85" t="s">
        <v>325</v>
      </c>
      <c r="K217" s="86">
        <f t="shared" si="19"/>
        <v>2416.6605637058615</v>
      </c>
      <c r="M217" s="86">
        <v>2400</v>
      </c>
      <c r="Q217" s="85">
        <v>2416.6605637058615</v>
      </c>
    </row>
    <row r="218" spans="1:17" x14ac:dyDescent="0.3">
      <c r="A218" s="85">
        <v>1</v>
      </c>
      <c r="C218" s="85">
        <f t="shared" si="15"/>
        <v>17</v>
      </c>
      <c r="D218" s="85">
        <f t="shared" si="16"/>
        <v>17</v>
      </c>
      <c r="E218" s="85">
        <f t="shared" si="17"/>
        <v>15</v>
      </c>
      <c r="F218" s="85" t="str">
        <f t="shared" si="18"/>
        <v>pmx</v>
      </c>
      <c r="G218" s="85" t="s">
        <v>765</v>
      </c>
      <c r="H218" s="85" t="s">
        <v>142</v>
      </c>
      <c r="I218" s="85" t="s">
        <v>766</v>
      </c>
      <c r="K218" s="86">
        <f t="shared" si="19"/>
        <v>2486.0438385750294</v>
      </c>
      <c r="M218" s="86">
        <v>2400</v>
      </c>
      <c r="P218" s="85">
        <v>2486.0438385750294</v>
      </c>
    </row>
    <row r="219" spans="1:17" x14ac:dyDescent="0.3">
      <c r="A219" s="85">
        <v>2</v>
      </c>
      <c r="C219" s="85">
        <f t="shared" si="15"/>
        <v>18</v>
      </c>
      <c r="D219" s="85">
        <f t="shared" si="16"/>
        <v>18</v>
      </c>
      <c r="E219" s="85">
        <f t="shared" si="17"/>
        <v>15</v>
      </c>
      <c r="F219" s="85" t="str">
        <f t="shared" si="18"/>
        <v>pm</v>
      </c>
      <c r="G219" s="85" t="s">
        <v>327</v>
      </c>
      <c r="H219" s="85" t="s">
        <v>497</v>
      </c>
      <c r="I219" s="85" t="s">
        <v>767</v>
      </c>
      <c r="K219" s="86">
        <f t="shared" si="19"/>
        <v>2441.7454081852825</v>
      </c>
      <c r="M219" s="86">
        <v>2400</v>
      </c>
      <c r="P219" s="85">
        <v>2468.9034180624526</v>
      </c>
      <c r="Q219" s="85">
        <v>2441.7454081852825</v>
      </c>
    </row>
    <row r="220" spans="1:17" x14ac:dyDescent="0.3">
      <c r="A220" s="85">
        <v>3</v>
      </c>
      <c r="C220" s="85">
        <f t="shared" si="15"/>
        <v>19</v>
      </c>
      <c r="D220" s="85">
        <f t="shared" si="16"/>
        <v>19</v>
      </c>
      <c r="E220" s="85">
        <f t="shared" si="17"/>
        <v>15</v>
      </c>
      <c r="F220" s="85" t="str">
        <f t="shared" si="18"/>
        <v>pm</v>
      </c>
      <c r="G220" s="85" t="s">
        <v>343</v>
      </c>
      <c r="H220" s="85" t="s">
        <v>497</v>
      </c>
      <c r="I220" s="85" t="s">
        <v>768</v>
      </c>
      <c r="K220" s="86">
        <f t="shared" si="19"/>
        <v>2318.0633092605581</v>
      </c>
      <c r="M220" s="86">
        <v>2400</v>
      </c>
      <c r="P220" s="85">
        <v>2313.0079257034422</v>
      </c>
      <c r="Q220" s="85">
        <v>2318.0633092605581</v>
      </c>
    </row>
    <row r="221" spans="1:17" x14ac:dyDescent="0.3">
      <c r="A221" s="85">
        <v>2</v>
      </c>
      <c r="C221" s="85">
        <f t="shared" si="15"/>
        <v>20</v>
      </c>
      <c r="D221" s="85">
        <f t="shared" si="16"/>
        <v>20</v>
      </c>
      <c r="E221" s="85">
        <f t="shared" si="17"/>
        <v>15</v>
      </c>
      <c r="F221" s="85" t="str">
        <f t="shared" si="18"/>
        <v>pm</v>
      </c>
      <c r="G221" s="85" t="s">
        <v>769</v>
      </c>
      <c r="H221" s="85" t="s">
        <v>534</v>
      </c>
      <c r="I221" s="85" t="s">
        <v>770</v>
      </c>
      <c r="K221" s="86">
        <f t="shared" si="19"/>
        <v>2470.2950301901274</v>
      </c>
      <c r="M221" s="86">
        <v>2400</v>
      </c>
      <c r="Q221" s="85">
        <v>2470.2950301901274</v>
      </c>
    </row>
    <row r="222" spans="1:17" x14ac:dyDescent="0.3">
      <c r="A222" s="85">
        <v>2</v>
      </c>
      <c r="C222" s="85">
        <f t="shared" si="15"/>
        <v>21</v>
      </c>
      <c r="D222" s="85">
        <f t="shared" si="16"/>
        <v>21</v>
      </c>
      <c r="E222" s="85">
        <f t="shared" si="17"/>
        <v>15</v>
      </c>
      <c r="F222" s="85" t="str">
        <f t="shared" si="18"/>
        <v>pm</v>
      </c>
      <c r="G222" s="85" t="s">
        <v>771</v>
      </c>
      <c r="H222" s="85" t="s">
        <v>500</v>
      </c>
      <c r="I222" s="85" t="s">
        <v>772</v>
      </c>
      <c r="K222" s="86">
        <f t="shared" si="19"/>
        <v>2400</v>
      </c>
      <c r="M222" s="86">
        <v>2400</v>
      </c>
    </row>
    <row r="223" spans="1:17" x14ac:dyDescent="0.3">
      <c r="A223" s="85">
        <v>1</v>
      </c>
      <c r="C223" s="85">
        <f t="shared" si="15"/>
        <v>22</v>
      </c>
      <c r="D223" s="85">
        <f t="shared" si="16"/>
        <v>21</v>
      </c>
      <c r="E223" s="85">
        <f t="shared" si="17"/>
        <v>15</v>
      </c>
      <c r="F223" s="85" t="str">
        <f t="shared" si="18"/>
        <v>pmx</v>
      </c>
      <c r="G223" s="85" t="s">
        <v>773</v>
      </c>
      <c r="H223" s="85" t="s">
        <v>159</v>
      </c>
      <c r="I223" s="85" t="s">
        <v>774</v>
      </c>
      <c r="K223" s="86">
        <f t="shared" si="19"/>
        <v>2400</v>
      </c>
      <c r="M223" s="86">
        <v>2400</v>
      </c>
    </row>
    <row r="224" spans="1:17" x14ac:dyDescent="0.3">
      <c r="A224" s="85">
        <v>2</v>
      </c>
      <c r="C224" s="85">
        <f t="shared" si="15"/>
        <v>23</v>
      </c>
      <c r="D224" s="85">
        <f t="shared" si="16"/>
        <v>21</v>
      </c>
      <c r="E224" s="85">
        <f t="shared" si="17"/>
        <v>15</v>
      </c>
      <c r="F224" s="85" t="str">
        <f t="shared" si="18"/>
        <v>pm</v>
      </c>
      <c r="G224" s="85" t="s">
        <v>334</v>
      </c>
      <c r="H224" s="85" t="s">
        <v>159</v>
      </c>
      <c r="I224" s="85" t="s">
        <v>336</v>
      </c>
      <c r="K224" s="86">
        <f t="shared" si="19"/>
        <v>2400</v>
      </c>
      <c r="M224" s="86">
        <v>2400</v>
      </c>
    </row>
    <row r="225" spans="1:18" x14ac:dyDescent="0.3">
      <c r="A225" s="85">
        <v>2</v>
      </c>
      <c r="C225" s="85">
        <f t="shared" si="15"/>
        <v>24</v>
      </c>
      <c r="D225" s="85">
        <f t="shared" si="16"/>
        <v>24</v>
      </c>
      <c r="E225" s="85">
        <f t="shared" si="17"/>
        <v>15</v>
      </c>
      <c r="F225" s="85" t="str">
        <f t="shared" si="18"/>
        <v>pm</v>
      </c>
      <c r="G225" s="85" t="s">
        <v>350</v>
      </c>
      <c r="H225" s="85" t="s">
        <v>502</v>
      </c>
      <c r="I225" s="85" t="s">
        <v>775</v>
      </c>
      <c r="K225" s="86">
        <f t="shared" si="19"/>
        <v>2508.7708076017111</v>
      </c>
      <c r="M225" s="86">
        <v>2400</v>
      </c>
      <c r="Q225" s="85">
        <v>2508.7708076017111</v>
      </c>
    </row>
    <row r="226" spans="1:18" x14ac:dyDescent="0.3">
      <c r="A226" s="85">
        <v>1</v>
      </c>
      <c r="C226" s="85">
        <f t="shared" si="15"/>
        <v>25</v>
      </c>
      <c r="D226" s="85">
        <f t="shared" si="16"/>
        <v>25</v>
      </c>
      <c r="E226" s="85">
        <f t="shared" si="17"/>
        <v>15</v>
      </c>
      <c r="F226" s="85" t="str">
        <f t="shared" si="18"/>
        <v>crx</v>
      </c>
      <c r="G226" s="85" t="s">
        <v>776</v>
      </c>
      <c r="H226" s="85" t="s">
        <v>579</v>
      </c>
      <c r="I226" s="85" t="s">
        <v>777</v>
      </c>
      <c r="K226" s="86">
        <f t="shared" si="19"/>
        <v>2400</v>
      </c>
      <c r="M226" s="86">
        <v>2400</v>
      </c>
    </row>
    <row r="227" spans="1:18" x14ac:dyDescent="0.3">
      <c r="A227" s="85">
        <v>1</v>
      </c>
      <c r="C227" s="85">
        <f t="shared" si="15"/>
        <v>26</v>
      </c>
      <c r="D227" s="85">
        <f t="shared" si="16"/>
        <v>26</v>
      </c>
      <c r="E227" s="85">
        <f t="shared" si="17"/>
        <v>15</v>
      </c>
      <c r="F227" s="85" t="str">
        <f t="shared" si="18"/>
        <v>odx</v>
      </c>
      <c r="G227" s="85" t="s">
        <v>778</v>
      </c>
      <c r="H227" s="85" t="s">
        <v>779</v>
      </c>
      <c r="I227" s="85" t="s">
        <v>780</v>
      </c>
      <c r="K227" s="86">
        <f t="shared" si="19"/>
        <v>2372.8250173310089</v>
      </c>
      <c r="M227" s="86">
        <v>2400</v>
      </c>
      <c r="Q227" s="85">
        <v>2372.8250173310089</v>
      </c>
    </row>
    <row r="228" spans="1:18" x14ac:dyDescent="0.3">
      <c r="A228" s="85">
        <v>1</v>
      </c>
      <c r="C228" s="85">
        <f t="shared" si="15"/>
        <v>27</v>
      </c>
      <c r="D228" s="85">
        <f t="shared" si="16"/>
        <v>27</v>
      </c>
      <c r="E228" s="85">
        <f t="shared" si="17"/>
        <v>15</v>
      </c>
      <c r="F228" s="85" t="str">
        <f t="shared" si="18"/>
        <v>sox</v>
      </c>
      <c r="G228" s="85" t="s">
        <v>781</v>
      </c>
      <c r="H228" s="85" t="s">
        <v>782</v>
      </c>
      <c r="I228" s="85" t="s">
        <v>783</v>
      </c>
      <c r="K228" s="86">
        <f t="shared" si="19"/>
        <v>2400</v>
      </c>
      <c r="M228" s="86">
        <v>2400</v>
      </c>
    </row>
    <row r="229" spans="1:18" x14ac:dyDescent="0.3">
      <c r="A229" s="85">
        <v>1</v>
      </c>
      <c r="C229" s="85">
        <f t="shared" si="15"/>
        <v>28</v>
      </c>
      <c r="D229" s="85">
        <f t="shared" si="16"/>
        <v>28</v>
      </c>
      <c r="E229" s="85">
        <f t="shared" si="17"/>
        <v>15</v>
      </c>
      <c r="F229" s="85" t="str">
        <f t="shared" si="18"/>
        <v>sox</v>
      </c>
      <c r="G229" s="85" t="s">
        <v>784</v>
      </c>
      <c r="H229" s="85" t="s">
        <v>785</v>
      </c>
      <c r="I229" s="85" t="s">
        <v>786</v>
      </c>
      <c r="K229" s="86">
        <f t="shared" si="19"/>
        <v>2400.030483858221</v>
      </c>
      <c r="M229" s="86">
        <v>2400</v>
      </c>
      <c r="Q229" s="85">
        <v>2400.030483858221</v>
      </c>
    </row>
    <row r="230" spans="1:18" x14ac:dyDescent="0.3">
      <c r="A230" s="85">
        <v>3</v>
      </c>
      <c r="C230" s="85">
        <f t="shared" si="15"/>
        <v>29</v>
      </c>
      <c r="D230" s="85">
        <f t="shared" si="16"/>
        <v>29</v>
      </c>
      <c r="E230" s="85">
        <f t="shared" si="17"/>
        <v>15</v>
      </c>
      <c r="F230" s="85" t="str">
        <f t="shared" si="18"/>
        <v>so</v>
      </c>
      <c r="G230" s="85" t="s">
        <v>787</v>
      </c>
      <c r="H230" s="85" t="s">
        <v>785</v>
      </c>
      <c r="I230" s="85" t="s">
        <v>788</v>
      </c>
      <c r="K230" s="86">
        <f t="shared" si="19"/>
        <v>2362.2125866010965</v>
      </c>
      <c r="M230" s="86">
        <v>2400</v>
      </c>
      <c r="Q230" s="85">
        <v>2362.2125866010965</v>
      </c>
    </row>
    <row r="231" spans="1:18" x14ac:dyDescent="0.3">
      <c r="A231" s="85">
        <v>1</v>
      </c>
      <c r="C231" s="85">
        <f t="shared" si="15"/>
        <v>30</v>
      </c>
      <c r="D231" s="85">
        <f t="shared" si="16"/>
        <v>30</v>
      </c>
      <c r="E231" s="85">
        <f t="shared" si="17"/>
        <v>15</v>
      </c>
      <c r="F231" s="85" t="str">
        <f t="shared" si="18"/>
        <v>pmx</v>
      </c>
      <c r="G231" s="85" t="s">
        <v>322</v>
      </c>
      <c r="H231" s="85" t="s">
        <v>163</v>
      </c>
      <c r="I231" s="85" t="s">
        <v>323</v>
      </c>
      <c r="K231" s="86">
        <f t="shared" si="19"/>
        <v>2563.0072455408745</v>
      </c>
      <c r="M231" s="86">
        <v>2400</v>
      </c>
      <c r="Q231" s="85">
        <v>2563.0072455408745</v>
      </c>
    </row>
    <row r="232" spans="1:18" x14ac:dyDescent="0.3">
      <c r="A232" s="85">
        <v>4</v>
      </c>
      <c r="C232" s="85">
        <f t="shared" si="15"/>
        <v>31</v>
      </c>
      <c r="D232" s="85">
        <f t="shared" si="16"/>
        <v>31</v>
      </c>
      <c r="E232" s="85">
        <f t="shared" si="17"/>
        <v>15</v>
      </c>
      <c r="F232" s="85" t="str">
        <f t="shared" si="18"/>
        <v>pm</v>
      </c>
      <c r="G232" s="85" t="s">
        <v>328</v>
      </c>
      <c r="H232" s="85" t="s">
        <v>167</v>
      </c>
      <c r="I232" s="85" t="s">
        <v>329</v>
      </c>
      <c r="K232" s="86">
        <f t="shared" si="19"/>
        <v>2474.1279688846307</v>
      </c>
      <c r="M232" s="86">
        <v>2400</v>
      </c>
      <c r="Q232" s="85">
        <v>2474.1279688846307</v>
      </c>
    </row>
    <row r="233" spans="1:18" x14ac:dyDescent="0.3">
      <c r="A233" s="85">
        <v>5</v>
      </c>
      <c r="C233" s="85">
        <f t="shared" si="15"/>
        <v>32</v>
      </c>
      <c r="D233" s="85">
        <f t="shared" si="16"/>
        <v>32</v>
      </c>
      <c r="E233" s="85">
        <f t="shared" si="17"/>
        <v>15</v>
      </c>
      <c r="F233" s="85" t="str">
        <f t="shared" si="18"/>
        <v>pm</v>
      </c>
      <c r="G233" s="85" t="s">
        <v>330</v>
      </c>
      <c r="H233" s="85" t="s">
        <v>167</v>
      </c>
      <c r="I233" s="85" t="s">
        <v>789</v>
      </c>
      <c r="K233" s="86">
        <f t="shared" si="19"/>
        <v>2309.516084638658</v>
      </c>
      <c r="M233" s="86">
        <v>2400</v>
      </c>
      <c r="O233" s="85">
        <v>2429.3281503386752</v>
      </c>
      <c r="Q233" s="85">
        <v>2309.516084638658</v>
      </c>
    </row>
    <row r="234" spans="1:18" x14ac:dyDescent="0.3">
      <c r="A234" s="85">
        <v>5</v>
      </c>
      <c r="C234" s="85">
        <f t="shared" si="15"/>
        <v>33</v>
      </c>
      <c r="D234" s="85">
        <f t="shared" si="16"/>
        <v>33</v>
      </c>
      <c r="E234" s="85">
        <f t="shared" si="17"/>
        <v>15</v>
      </c>
      <c r="F234" s="85" t="str">
        <f t="shared" si="18"/>
        <v>pm</v>
      </c>
      <c r="G234" s="85" t="s">
        <v>347</v>
      </c>
      <c r="H234" s="85" t="s">
        <v>167</v>
      </c>
      <c r="I234" s="85" t="s">
        <v>790</v>
      </c>
      <c r="K234" s="86">
        <f t="shared" si="19"/>
        <v>2297.8789657702555</v>
      </c>
      <c r="M234" s="86">
        <v>2400</v>
      </c>
      <c r="O234" s="85">
        <v>2364.2098949089186</v>
      </c>
      <c r="Q234" s="85">
        <v>2297.8789657702555</v>
      </c>
    </row>
    <row r="235" spans="1:18" x14ac:dyDescent="0.3">
      <c r="A235" s="85">
        <v>3</v>
      </c>
      <c r="C235" s="85">
        <f t="shared" si="15"/>
        <v>34</v>
      </c>
      <c r="D235" s="85">
        <f t="shared" si="16"/>
        <v>34</v>
      </c>
      <c r="E235" s="85">
        <f t="shared" si="17"/>
        <v>15</v>
      </c>
      <c r="F235" s="85" t="str">
        <f t="shared" si="18"/>
        <v>pm</v>
      </c>
      <c r="G235" s="85" t="s">
        <v>335</v>
      </c>
      <c r="H235" s="85" t="s">
        <v>159</v>
      </c>
      <c r="I235" s="85" t="s">
        <v>791</v>
      </c>
      <c r="K235" s="86">
        <f t="shared" si="19"/>
        <v>2421.6337699850151</v>
      </c>
      <c r="M235" s="86">
        <v>2333.3333333333335</v>
      </c>
      <c r="O235" s="85">
        <v>2421.6337699850151</v>
      </c>
    </row>
    <row r="236" spans="1:18" x14ac:dyDescent="0.3">
      <c r="A236" s="85">
        <v>5</v>
      </c>
      <c r="C236" s="85">
        <f t="shared" si="15"/>
        <v>35</v>
      </c>
      <c r="D236" s="85">
        <f t="shared" si="16"/>
        <v>35</v>
      </c>
      <c r="E236" s="85">
        <f t="shared" si="17"/>
        <v>15</v>
      </c>
      <c r="F236" s="85" t="str">
        <f t="shared" si="18"/>
        <v>pm</v>
      </c>
      <c r="G236" s="85" t="s">
        <v>338</v>
      </c>
      <c r="H236" s="85" t="s">
        <v>549</v>
      </c>
      <c r="I236" s="85" t="s">
        <v>792</v>
      </c>
      <c r="K236" s="86">
        <f t="shared" si="19"/>
        <v>2552.8010634539187</v>
      </c>
      <c r="M236" s="86">
        <v>2320</v>
      </c>
      <c r="N236" s="85">
        <v>2443.7279493714677</v>
      </c>
      <c r="R236" s="85">
        <v>2552.8010634539187</v>
      </c>
    </row>
    <row r="237" spans="1:18" x14ac:dyDescent="0.3">
      <c r="A237" s="85">
        <v>2</v>
      </c>
      <c r="C237" s="85">
        <f t="shared" si="15"/>
        <v>36</v>
      </c>
      <c r="D237" s="85">
        <f t="shared" si="16"/>
        <v>36</v>
      </c>
      <c r="E237" s="85">
        <f t="shared" si="17"/>
        <v>15</v>
      </c>
      <c r="F237" s="85" t="str">
        <f t="shared" si="18"/>
        <v>pm</v>
      </c>
      <c r="G237" s="85" t="s">
        <v>326</v>
      </c>
      <c r="H237" s="85" t="s">
        <v>206</v>
      </c>
      <c r="I237" s="85" t="s">
        <v>793</v>
      </c>
      <c r="K237" s="86">
        <f t="shared" si="19"/>
        <v>2356.2959603435406</v>
      </c>
      <c r="M237" s="86">
        <v>2300</v>
      </c>
      <c r="P237" s="85">
        <v>2356.2959603435406</v>
      </c>
    </row>
    <row r="238" spans="1:18" x14ac:dyDescent="0.3">
      <c r="A238" s="85">
        <v>5</v>
      </c>
      <c r="C238" s="85">
        <f t="shared" si="15"/>
        <v>37</v>
      </c>
      <c r="D238" s="85">
        <f t="shared" si="16"/>
        <v>37</v>
      </c>
      <c r="E238" s="85">
        <f t="shared" si="17"/>
        <v>15</v>
      </c>
      <c r="F238" s="85" t="str">
        <f t="shared" si="18"/>
        <v>pm</v>
      </c>
      <c r="G238" s="85" t="s">
        <v>794</v>
      </c>
      <c r="H238" s="85" t="s">
        <v>236</v>
      </c>
      <c r="I238" s="85" t="s">
        <v>795</v>
      </c>
      <c r="K238" s="86">
        <f t="shared" si="19"/>
        <v>2149.8163394244666</v>
      </c>
      <c r="M238" s="86">
        <v>2240</v>
      </c>
      <c r="P238" s="85">
        <v>2173.5347882407832</v>
      </c>
      <c r="Q238" s="85">
        <v>2149.8163394244666</v>
      </c>
    </row>
    <row r="239" spans="1:18" x14ac:dyDescent="0.3">
      <c r="A239" s="85">
        <v>2</v>
      </c>
      <c r="C239" s="85">
        <f t="shared" si="15"/>
        <v>38</v>
      </c>
      <c r="D239" s="85">
        <f t="shared" si="16"/>
        <v>38</v>
      </c>
      <c r="E239" s="85">
        <f t="shared" si="17"/>
        <v>15</v>
      </c>
      <c r="F239" s="85" t="str">
        <f t="shared" si="18"/>
        <v>pm</v>
      </c>
      <c r="G239" s="85" t="s">
        <v>796</v>
      </c>
      <c r="H239" s="85" t="s">
        <v>159</v>
      </c>
      <c r="I239" s="85" t="s">
        <v>797</v>
      </c>
      <c r="K239" s="86">
        <f t="shared" si="19"/>
        <v>2200</v>
      </c>
      <c r="M239" s="86">
        <v>2200</v>
      </c>
    </row>
    <row r="240" spans="1:18" x14ac:dyDescent="0.3">
      <c r="A240" s="85">
        <v>2</v>
      </c>
      <c r="C240" s="85">
        <f t="shared" si="15"/>
        <v>39</v>
      </c>
      <c r="D240" s="85">
        <f t="shared" si="16"/>
        <v>38</v>
      </c>
      <c r="E240" s="85">
        <f t="shared" si="17"/>
        <v>15</v>
      </c>
      <c r="F240" s="85" t="str">
        <f t="shared" si="18"/>
        <v>pm</v>
      </c>
      <c r="G240" s="85" t="s">
        <v>798</v>
      </c>
      <c r="H240" s="85" t="s">
        <v>159</v>
      </c>
      <c r="I240" s="85" t="s">
        <v>799</v>
      </c>
      <c r="K240" s="86">
        <f t="shared" si="19"/>
        <v>2200</v>
      </c>
      <c r="M240" s="86">
        <v>2200</v>
      </c>
    </row>
    <row r="241" spans="1:18" x14ac:dyDescent="0.3">
      <c r="A241" s="85">
        <v>2</v>
      </c>
      <c r="C241" s="85">
        <f t="shared" si="15"/>
        <v>40</v>
      </c>
      <c r="D241" s="85">
        <f t="shared" si="16"/>
        <v>38</v>
      </c>
      <c r="E241" s="85">
        <f t="shared" si="17"/>
        <v>15</v>
      </c>
      <c r="F241" s="85" t="str">
        <f t="shared" si="18"/>
        <v>cr</v>
      </c>
      <c r="G241" s="85" t="s">
        <v>800</v>
      </c>
      <c r="H241" s="85" t="s">
        <v>495</v>
      </c>
      <c r="I241" s="85" t="s">
        <v>801</v>
      </c>
      <c r="K241" s="86">
        <f t="shared" si="19"/>
        <v>2200</v>
      </c>
      <c r="M241" s="86">
        <v>2200</v>
      </c>
    </row>
    <row r="242" spans="1:18" x14ac:dyDescent="0.3">
      <c r="A242" s="85">
        <v>2</v>
      </c>
      <c r="C242" s="85">
        <f t="shared" si="15"/>
        <v>41</v>
      </c>
      <c r="D242" s="85">
        <f t="shared" si="16"/>
        <v>38</v>
      </c>
      <c r="E242" s="85">
        <f t="shared" si="17"/>
        <v>15</v>
      </c>
      <c r="F242" s="85" t="str">
        <f t="shared" si="18"/>
        <v>fl</v>
      </c>
      <c r="G242" s="85" t="s">
        <v>802</v>
      </c>
      <c r="H242" s="85" t="s">
        <v>803</v>
      </c>
      <c r="I242" s="85" t="s">
        <v>804</v>
      </c>
      <c r="K242" s="86">
        <f t="shared" si="19"/>
        <v>2200</v>
      </c>
      <c r="M242" s="86">
        <v>2200</v>
      </c>
    </row>
    <row r="243" spans="1:18" x14ac:dyDescent="0.3">
      <c r="A243" s="85">
        <v>3</v>
      </c>
      <c r="C243" s="85">
        <f t="shared" si="15"/>
        <v>42</v>
      </c>
      <c r="D243" s="85">
        <f t="shared" si="16"/>
        <v>42</v>
      </c>
      <c r="E243" s="85">
        <f t="shared" si="17"/>
        <v>15</v>
      </c>
      <c r="F243" s="85" t="str">
        <f t="shared" si="18"/>
        <v>pm</v>
      </c>
      <c r="G243" s="85" t="s">
        <v>337</v>
      </c>
      <c r="H243" s="85" t="s">
        <v>277</v>
      </c>
      <c r="I243" s="85" t="s">
        <v>805</v>
      </c>
      <c r="K243" s="86">
        <f t="shared" si="19"/>
        <v>2012.5991057299912</v>
      </c>
      <c r="M243" s="86">
        <v>2133.3333333333335</v>
      </c>
      <c r="O243" s="85">
        <v>2098.3727680075549</v>
      </c>
      <c r="R243" s="85">
        <v>2012.5991057299912</v>
      </c>
    </row>
    <row r="244" spans="1:18" x14ac:dyDescent="0.3">
      <c r="A244" s="85">
        <v>4</v>
      </c>
      <c r="C244" s="85">
        <f t="shared" si="15"/>
        <v>43</v>
      </c>
      <c r="D244" s="85">
        <f t="shared" si="16"/>
        <v>43</v>
      </c>
      <c r="E244" s="85">
        <f t="shared" si="17"/>
        <v>15</v>
      </c>
      <c r="F244" s="85" t="str">
        <f t="shared" si="18"/>
        <v>pm</v>
      </c>
      <c r="G244" s="85" t="s">
        <v>806</v>
      </c>
      <c r="H244" s="85" t="s">
        <v>145</v>
      </c>
      <c r="I244" s="85" t="s">
        <v>807</v>
      </c>
      <c r="K244" s="86">
        <f t="shared" si="19"/>
        <v>2244.4861787298178</v>
      </c>
      <c r="M244" s="86">
        <v>2100</v>
      </c>
      <c r="N244" s="85">
        <v>2157.5785645731467</v>
      </c>
      <c r="P244" s="85">
        <v>2181.9666302120004</v>
      </c>
      <c r="R244" s="85">
        <v>2244.4861787298178</v>
      </c>
    </row>
    <row r="245" spans="1:18" x14ac:dyDescent="0.3">
      <c r="A245" s="85">
        <v>5</v>
      </c>
      <c r="C245" s="85">
        <f t="shared" si="15"/>
        <v>44</v>
      </c>
      <c r="D245" s="85">
        <f t="shared" si="16"/>
        <v>44</v>
      </c>
      <c r="E245" s="85">
        <f t="shared" si="17"/>
        <v>15</v>
      </c>
      <c r="F245" s="85" t="str">
        <f t="shared" si="18"/>
        <v>pm</v>
      </c>
      <c r="G245" s="85" t="s">
        <v>808</v>
      </c>
      <c r="H245" s="85" t="s">
        <v>549</v>
      </c>
      <c r="I245" s="85" t="s">
        <v>809</v>
      </c>
      <c r="K245" s="86">
        <f t="shared" si="19"/>
        <v>2112.5138080585534</v>
      </c>
      <c r="M245" s="86">
        <v>2080</v>
      </c>
      <c r="N245" s="85">
        <v>2069.0723637688607</v>
      </c>
      <c r="R245" s="85">
        <v>2112.5138080585534</v>
      </c>
    </row>
    <row r="246" spans="1:18" x14ac:dyDescent="0.3">
      <c r="A246" s="85">
        <v>1</v>
      </c>
      <c r="C246" s="85">
        <f t="shared" si="15"/>
        <v>45</v>
      </c>
      <c r="D246" s="85">
        <f t="shared" si="16"/>
        <v>45</v>
      </c>
      <c r="E246" s="85">
        <f t="shared" si="17"/>
        <v>15</v>
      </c>
      <c r="F246" s="85" t="str">
        <f t="shared" si="18"/>
        <v>pmx</v>
      </c>
      <c r="G246" s="85" t="s">
        <v>810</v>
      </c>
      <c r="H246" s="85" t="s">
        <v>512</v>
      </c>
      <c r="I246" s="85" t="s">
        <v>811</v>
      </c>
      <c r="K246" s="86">
        <f t="shared" si="19"/>
        <v>2000</v>
      </c>
      <c r="M246" s="86">
        <v>2000</v>
      </c>
    </row>
    <row r="247" spans="1:18" x14ac:dyDescent="0.3">
      <c r="A247" s="85">
        <v>3</v>
      </c>
      <c r="C247" s="85">
        <f t="shared" si="15"/>
        <v>46</v>
      </c>
      <c r="D247" s="85">
        <f t="shared" si="16"/>
        <v>46</v>
      </c>
      <c r="E247" s="85">
        <f t="shared" si="17"/>
        <v>15</v>
      </c>
      <c r="F247" s="85" t="str">
        <f t="shared" si="18"/>
        <v>pm</v>
      </c>
      <c r="G247" s="85" t="s">
        <v>315</v>
      </c>
      <c r="H247" s="85" t="s">
        <v>144</v>
      </c>
      <c r="I247" s="85" t="s">
        <v>812</v>
      </c>
      <c r="K247" s="86">
        <f t="shared" si="19"/>
        <v>1985.8911223651464</v>
      </c>
      <c r="M247" s="86">
        <v>2000</v>
      </c>
      <c r="N247" s="85">
        <v>1985.8911223651464</v>
      </c>
    </row>
    <row r="248" spans="1:18" x14ac:dyDescent="0.3">
      <c r="A248" s="85">
        <v>3</v>
      </c>
      <c r="C248" s="85">
        <f t="shared" si="15"/>
        <v>47</v>
      </c>
      <c r="D248" s="85">
        <f t="shared" si="16"/>
        <v>47</v>
      </c>
      <c r="E248" s="85">
        <f t="shared" si="17"/>
        <v>15</v>
      </c>
      <c r="F248" s="85" t="str">
        <f t="shared" si="18"/>
        <v>pm</v>
      </c>
      <c r="G248" s="85" t="s">
        <v>340</v>
      </c>
      <c r="H248" s="85" t="s">
        <v>144</v>
      </c>
      <c r="I248" s="85" t="s">
        <v>341</v>
      </c>
      <c r="K248" s="86">
        <f t="shared" si="19"/>
        <v>2014.0023386288276</v>
      </c>
      <c r="M248" s="86">
        <v>2000</v>
      </c>
      <c r="N248" s="85">
        <v>2014.0023386288276</v>
      </c>
    </row>
    <row r="249" spans="1:18" x14ac:dyDescent="0.3">
      <c r="A249" s="85">
        <v>3</v>
      </c>
      <c r="C249" s="85">
        <f t="shared" si="15"/>
        <v>48</v>
      </c>
      <c r="D249" s="85">
        <f t="shared" si="16"/>
        <v>48</v>
      </c>
      <c r="E249" s="85">
        <f t="shared" si="17"/>
        <v>15</v>
      </c>
      <c r="F249" s="85" t="str">
        <f t="shared" si="18"/>
        <v>pm</v>
      </c>
      <c r="G249" s="85" t="s">
        <v>813</v>
      </c>
      <c r="H249" s="85" t="s">
        <v>519</v>
      </c>
      <c r="I249" s="85" t="s">
        <v>814</v>
      </c>
      <c r="K249" s="86">
        <f t="shared" si="19"/>
        <v>2067.659762098283</v>
      </c>
      <c r="M249" s="86">
        <v>2000</v>
      </c>
      <c r="N249" s="85">
        <v>2049.5374066277782</v>
      </c>
      <c r="R249" s="85">
        <v>2067.659762098283</v>
      </c>
    </row>
    <row r="250" spans="1:18" x14ac:dyDescent="0.3">
      <c r="A250" s="85">
        <v>2</v>
      </c>
      <c r="C250" s="85">
        <f t="shared" si="15"/>
        <v>49</v>
      </c>
      <c r="D250" s="85">
        <f t="shared" si="16"/>
        <v>49</v>
      </c>
      <c r="E250" s="85">
        <f t="shared" si="17"/>
        <v>15</v>
      </c>
      <c r="F250" s="85" t="str">
        <f t="shared" si="18"/>
        <v>pm</v>
      </c>
      <c r="G250" s="85" t="s">
        <v>815</v>
      </c>
      <c r="H250" s="85" t="s">
        <v>278</v>
      </c>
      <c r="I250" s="85" t="s">
        <v>816</v>
      </c>
      <c r="K250" s="86">
        <f t="shared" si="19"/>
        <v>2124.1644411056986</v>
      </c>
      <c r="M250" s="86">
        <v>2000</v>
      </c>
      <c r="N250" s="85">
        <v>2064.8623824177516</v>
      </c>
      <c r="R250" s="85">
        <v>2124.1644411056986</v>
      </c>
    </row>
    <row r="251" spans="1:18" x14ac:dyDescent="0.3">
      <c r="A251" s="85">
        <v>7</v>
      </c>
      <c r="C251" s="85">
        <f t="shared" si="15"/>
        <v>50</v>
      </c>
      <c r="D251" s="85">
        <f t="shared" si="16"/>
        <v>50</v>
      </c>
      <c r="E251" s="85">
        <f t="shared" si="17"/>
        <v>15</v>
      </c>
      <c r="F251" s="85" t="str">
        <f t="shared" si="18"/>
        <v>pm</v>
      </c>
      <c r="G251" s="85" t="s">
        <v>817</v>
      </c>
      <c r="H251" s="85" t="s">
        <v>177</v>
      </c>
      <c r="I251" s="85" t="s">
        <v>818</v>
      </c>
      <c r="K251" s="86">
        <f t="shared" si="19"/>
        <v>1905.7355996922558</v>
      </c>
      <c r="M251" s="86">
        <v>2000</v>
      </c>
      <c r="N251" s="85">
        <v>1891.2531382656648</v>
      </c>
      <c r="P251" s="85">
        <v>1912.5278512157745</v>
      </c>
      <c r="R251" s="85">
        <v>1905.7355996922558</v>
      </c>
    </row>
    <row r="252" spans="1:18" x14ac:dyDescent="0.3">
      <c r="A252" s="85">
        <v>6</v>
      </c>
      <c r="C252" s="85">
        <f t="shared" si="15"/>
        <v>51</v>
      </c>
      <c r="D252" s="85">
        <f t="shared" si="16"/>
        <v>51</v>
      </c>
      <c r="E252" s="85">
        <f t="shared" si="17"/>
        <v>15</v>
      </c>
      <c r="F252" s="85" t="str">
        <f t="shared" si="18"/>
        <v>pm</v>
      </c>
      <c r="G252" s="85" t="s">
        <v>819</v>
      </c>
      <c r="H252" s="85" t="s">
        <v>186</v>
      </c>
      <c r="I252" s="85" t="s">
        <v>820</v>
      </c>
      <c r="K252" s="86">
        <f t="shared" si="19"/>
        <v>1907.9011658369698</v>
      </c>
      <c r="M252" s="86">
        <v>2000</v>
      </c>
      <c r="P252" s="85">
        <v>1907.0602982216196</v>
      </c>
      <c r="R252" s="85">
        <v>1907.9011658369698</v>
      </c>
    </row>
    <row r="253" spans="1:18" x14ac:dyDescent="0.3">
      <c r="A253" s="85">
        <v>3</v>
      </c>
      <c r="C253" s="85">
        <f t="shared" si="15"/>
        <v>52</v>
      </c>
      <c r="D253" s="85">
        <f t="shared" si="16"/>
        <v>52</v>
      </c>
      <c r="E253" s="85">
        <f t="shared" si="17"/>
        <v>15</v>
      </c>
      <c r="F253" s="85" t="str">
        <f t="shared" si="18"/>
        <v>pm</v>
      </c>
      <c r="G253" s="85" t="s">
        <v>821</v>
      </c>
      <c r="H253" s="85" t="s">
        <v>204</v>
      </c>
      <c r="I253" s="85" t="s">
        <v>822</v>
      </c>
      <c r="K253" s="86">
        <f t="shared" si="19"/>
        <v>2084.3018408354983</v>
      </c>
      <c r="M253" s="86">
        <v>2000</v>
      </c>
      <c r="R253" s="85">
        <v>2084.3018408354983</v>
      </c>
    </row>
    <row r="254" spans="1:18" x14ac:dyDescent="0.3">
      <c r="A254" s="85">
        <v>4</v>
      </c>
      <c r="C254" s="85">
        <f t="shared" si="15"/>
        <v>53</v>
      </c>
      <c r="D254" s="85">
        <f t="shared" si="16"/>
        <v>53</v>
      </c>
      <c r="E254" s="85">
        <f t="shared" si="17"/>
        <v>15</v>
      </c>
      <c r="F254" s="85" t="str">
        <f t="shared" si="18"/>
        <v>pm</v>
      </c>
      <c r="G254" s="85" t="s">
        <v>823</v>
      </c>
      <c r="H254" s="85" t="s">
        <v>824</v>
      </c>
      <c r="I254" s="85" t="s">
        <v>825</v>
      </c>
      <c r="K254" s="86">
        <f t="shared" si="19"/>
        <v>2100.4547618272268</v>
      </c>
      <c r="M254" s="86">
        <v>2000</v>
      </c>
      <c r="P254" s="85">
        <v>2100.4547618272268</v>
      </c>
    </row>
    <row r="255" spans="1:18" x14ac:dyDescent="0.3">
      <c r="A255" s="85">
        <v>5</v>
      </c>
      <c r="C255" s="85">
        <f t="shared" si="15"/>
        <v>54</v>
      </c>
      <c r="D255" s="85">
        <f t="shared" si="16"/>
        <v>54</v>
      </c>
      <c r="E255" s="85">
        <f t="shared" si="17"/>
        <v>15</v>
      </c>
      <c r="F255" s="85" t="str">
        <f t="shared" si="18"/>
        <v>pm</v>
      </c>
      <c r="G255" s="85" t="s">
        <v>826</v>
      </c>
      <c r="H255" s="85" t="s">
        <v>235</v>
      </c>
      <c r="I255" s="85" t="s">
        <v>827</v>
      </c>
      <c r="K255" s="86">
        <f t="shared" si="19"/>
        <v>1804.7356710542576</v>
      </c>
      <c r="M255" s="86">
        <v>2000</v>
      </c>
      <c r="P255" s="85">
        <v>1878.0185952211898</v>
      </c>
      <c r="R255" s="85">
        <v>1804.7356710542576</v>
      </c>
    </row>
    <row r="256" spans="1:18" x14ac:dyDescent="0.3">
      <c r="A256" s="85">
        <v>3</v>
      </c>
      <c r="C256" s="85">
        <f t="shared" si="15"/>
        <v>55</v>
      </c>
      <c r="D256" s="85">
        <f t="shared" si="16"/>
        <v>55</v>
      </c>
      <c r="E256" s="85">
        <f t="shared" si="17"/>
        <v>15</v>
      </c>
      <c r="F256" s="85" t="str">
        <f t="shared" si="18"/>
        <v>pm</v>
      </c>
      <c r="G256" s="85" t="s">
        <v>828</v>
      </c>
      <c r="H256" s="85" t="s">
        <v>235</v>
      </c>
      <c r="I256" s="85" t="s">
        <v>829</v>
      </c>
      <c r="K256" s="86">
        <f t="shared" si="19"/>
        <v>1972.3799548425379</v>
      </c>
      <c r="M256" s="86">
        <v>2000</v>
      </c>
      <c r="P256" s="85">
        <v>1972.3799548425379</v>
      </c>
    </row>
    <row r="257" spans="1:18" x14ac:dyDescent="0.3">
      <c r="A257" s="85">
        <v>6</v>
      </c>
      <c r="C257" s="85">
        <f t="shared" si="15"/>
        <v>56</v>
      </c>
      <c r="D257" s="85">
        <f t="shared" si="16"/>
        <v>56</v>
      </c>
      <c r="E257" s="85">
        <f t="shared" si="17"/>
        <v>15</v>
      </c>
      <c r="F257" s="85" t="str">
        <f t="shared" si="18"/>
        <v>pm</v>
      </c>
      <c r="G257" s="85" t="s">
        <v>830</v>
      </c>
      <c r="H257" s="85" t="s">
        <v>831</v>
      </c>
      <c r="I257" s="85" t="s">
        <v>832</v>
      </c>
      <c r="K257" s="86">
        <f t="shared" si="19"/>
        <v>1923.2346641244819</v>
      </c>
      <c r="M257" s="86">
        <v>2000</v>
      </c>
      <c r="N257" s="85">
        <v>1949.0271934580555</v>
      </c>
      <c r="P257" s="85">
        <v>1882.5235226783811</v>
      </c>
      <c r="R257" s="85">
        <v>1923.2346641244819</v>
      </c>
    </row>
    <row r="258" spans="1:18" x14ac:dyDescent="0.3">
      <c r="A258" s="85">
        <v>5</v>
      </c>
      <c r="C258" s="85">
        <f t="shared" ref="C258:C321" si="20">IF(E258=E257,C257+1,1)</f>
        <v>57</v>
      </c>
      <c r="D258" s="85">
        <f t="shared" ref="D258:D321" si="21">IF(K258=K257,D257,C258)</f>
        <v>57</v>
      </c>
      <c r="E258" s="85">
        <f t="shared" ref="E258:E321" si="22">10+VALUE(RIGHT(LEFT(G258,3),1))</f>
        <v>15</v>
      </c>
      <c r="F258" s="85" t="str">
        <f t="shared" ref="F258:F321" si="23">RIGHT(G258,2) &amp; IF(A258&lt;2,"x","")</f>
        <v>pm</v>
      </c>
      <c r="G258" s="85" t="s">
        <v>344</v>
      </c>
      <c r="H258" s="85" t="s">
        <v>345</v>
      </c>
      <c r="I258" s="85" t="s">
        <v>346</v>
      </c>
      <c r="K258" s="86">
        <f t="shared" ref="K258:K321" si="24">LOOKUP(1E+100,M258:AB258)</f>
        <v>1924.6311991718028</v>
      </c>
      <c r="M258" s="86">
        <v>2000</v>
      </c>
      <c r="N258" s="85">
        <v>1916.4170326361775</v>
      </c>
      <c r="R258" s="85">
        <v>1924.6311991718028</v>
      </c>
    </row>
    <row r="259" spans="1:18" x14ac:dyDescent="0.3">
      <c r="A259" s="85">
        <v>6</v>
      </c>
      <c r="C259" s="85">
        <f t="shared" si="20"/>
        <v>58</v>
      </c>
      <c r="D259" s="85">
        <f t="shared" si="21"/>
        <v>58</v>
      </c>
      <c r="E259" s="85">
        <f t="shared" si="22"/>
        <v>15</v>
      </c>
      <c r="F259" s="85" t="str">
        <f t="shared" si="23"/>
        <v>pm</v>
      </c>
      <c r="G259" s="85" t="s">
        <v>349</v>
      </c>
      <c r="H259" s="85" t="s">
        <v>167</v>
      </c>
      <c r="I259" s="85" t="s">
        <v>348</v>
      </c>
      <c r="K259" s="86">
        <f t="shared" si="24"/>
        <v>1870.0232203055843</v>
      </c>
      <c r="M259" s="86">
        <v>2000</v>
      </c>
      <c r="P259" s="85">
        <v>1971.8032083037831</v>
      </c>
      <c r="R259" s="85">
        <v>1870.0232203055843</v>
      </c>
    </row>
    <row r="260" spans="1:18" x14ac:dyDescent="0.3">
      <c r="A260" s="85">
        <v>6</v>
      </c>
      <c r="C260" s="85">
        <f t="shared" si="20"/>
        <v>59</v>
      </c>
      <c r="D260" s="85">
        <f t="shared" si="21"/>
        <v>59</v>
      </c>
      <c r="E260" s="85">
        <f t="shared" si="22"/>
        <v>15</v>
      </c>
      <c r="F260" s="85" t="str">
        <f t="shared" si="23"/>
        <v>pm</v>
      </c>
      <c r="G260" s="85" t="s">
        <v>833</v>
      </c>
      <c r="H260" s="85" t="s">
        <v>562</v>
      </c>
      <c r="I260" s="85" t="s">
        <v>834</v>
      </c>
      <c r="K260" s="86">
        <f t="shared" si="24"/>
        <v>2067.6707771946617</v>
      </c>
      <c r="M260" s="86">
        <v>2000</v>
      </c>
      <c r="N260" s="85">
        <v>1927.6957131566237</v>
      </c>
      <c r="P260" s="85">
        <v>2029.7452003979715</v>
      </c>
      <c r="R260" s="85">
        <v>2067.6707771946617</v>
      </c>
    </row>
    <row r="261" spans="1:18" x14ac:dyDescent="0.3">
      <c r="A261" s="85">
        <v>2</v>
      </c>
      <c r="C261" s="85">
        <f t="shared" si="20"/>
        <v>60</v>
      </c>
      <c r="D261" s="85">
        <f t="shared" si="21"/>
        <v>60</v>
      </c>
      <c r="E261" s="85">
        <f t="shared" si="22"/>
        <v>15</v>
      </c>
      <c r="F261" s="85" t="str">
        <f t="shared" si="23"/>
        <v>cr</v>
      </c>
      <c r="G261" s="85" t="s">
        <v>835</v>
      </c>
      <c r="H261" s="85" t="s">
        <v>495</v>
      </c>
      <c r="I261" s="85" t="s">
        <v>836</v>
      </c>
      <c r="K261" s="86">
        <f t="shared" si="24"/>
        <v>2000</v>
      </c>
      <c r="M261" s="86">
        <v>2000</v>
      </c>
    </row>
    <row r="262" spans="1:18" x14ac:dyDescent="0.3">
      <c r="A262" s="85">
        <v>1</v>
      </c>
      <c r="C262" s="85">
        <f t="shared" si="20"/>
        <v>61</v>
      </c>
      <c r="D262" s="85">
        <f t="shared" si="21"/>
        <v>61</v>
      </c>
      <c r="E262" s="85">
        <f t="shared" si="22"/>
        <v>15</v>
      </c>
      <c r="F262" s="85" t="str">
        <f t="shared" si="23"/>
        <v>crx</v>
      </c>
      <c r="G262" s="85" t="s">
        <v>837</v>
      </c>
      <c r="H262" s="85" t="s">
        <v>838</v>
      </c>
      <c r="I262" s="85" t="s">
        <v>839</v>
      </c>
      <c r="K262" s="86">
        <f t="shared" si="24"/>
        <v>2016.3722143025891</v>
      </c>
      <c r="M262" s="86">
        <v>2000</v>
      </c>
      <c r="N262" s="85">
        <v>2016.3722143025891</v>
      </c>
    </row>
    <row r="263" spans="1:18" x14ac:dyDescent="0.3">
      <c r="A263" s="85">
        <v>3</v>
      </c>
      <c r="C263" s="85">
        <f t="shared" si="20"/>
        <v>62</v>
      </c>
      <c r="D263" s="85">
        <f t="shared" si="21"/>
        <v>62</v>
      </c>
      <c r="E263" s="85">
        <f t="shared" si="22"/>
        <v>15</v>
      </c>
      <c r="F263" s="85" t="str">
        <f t="shared" si="23"/>
        <v>cr</v>
      </c>
      <c r="G263" s="85" t="s">
        <v>840</v>
      </c>
      <c r="H263" s="85" t="s">
        <v>628</v>
      </c>
      <c r="I263" s="85" t="s">
        <v>841</v>
      </c>
      <c r="K263" s="86">
        <f t="shared" si="24"/>
        <v>2047.7871472560751</v>
      </c>
      <c r="M263" s="86">
        <v>2000</v>
      </c>
      <c r="R263" s="85">
        <v>2047.7871472560751</v>
      </c>
    </row>
    <row r="264" spans="1:18" x14ac:dyDescent="0.3">
      <c r="A264" s="85">
        <v>1</v>
      </c>
      <c r="C264" s="85">
        <f t="shared" si="20"/>
        <v>1</v>
      </c>
      <c r="D264" s="85">
        <f t="shared" si="21"/>
        <v>1</v>
      </c>
      <c r="E264" s="85">
        <f t="shared" si="22"/>
        <v>16</v>
      </c>
      <c r="F264" s="85" t="str">
        <f t="shared" si="23"/>
        <v>pmx</v>
      </c>
      <c r="G264" s="85" t="s">
        <v>842</v>
      </c>
      <c r="H264" s="85" t="s">
        <v>147</v>
      </c>
      <c r="I264" s="85" t="s">
        <v>843</v>
      </c>
      <c r="K264" s="86">
        <f t="shared" si="24"/>
        <v>2600</v>
      </c>
      <c r="M264" s="86">
        <v>2600</v>
      </c>
    </row>
    <row r="265" spans="1:18" x14ac:dyDescent="0.3">
      <c r="A265" s="85">
        <v>2</v>
      </c>
      <c r="C265" s="85">
        <f t="shared" si="20"/>
        <v>2</v>
      </c>
      <c r="D265" s="85">
        <f t="shared" si="21"/>
        <v>2</v>
      </c>
      <c r="E265" s="85">
        <f t="shared" si="22"/>
        <v>16</v>
      </c>
      <c r="F265" s="85" t="str">
        <f t="shared" si="23"/>
        <v>pm</v>
      </c>
      <c r="G265" s="85" t="s">
        <v>353</v>
      </c>
      <c r="H265" s="85" t="s">
        <v>144</v>
      </c>
      <c r="I265" s="85" t="s">
        <v>354</v>
      </c>
      <c r="K265" s="86">
        <f t="shared" si="24"/>
        <v>2647.187670543276</v>
      </c>
      <c r="M265" s="86">
        <v>2600</v>
      </c>
      <c r="P265" s="85">
        <v>2580.3648746748836</v>
      </c>
      <c r="Q265" s="85">
        <v>2647.187670543276</v>
      </c>
    </row>
    <row r="266" spans="1:18" x14ac:dyDescent="0.3">
      <c r="A266" s="85">
        <v>3</v>
      </c>
      <c r="C266" s="85">
        <f t="shared" si="20"/>
        <v>3</v>
      </c>
      <c r="D266" s="85">
        <f t="shared" si="21"/>
        <v>3</v>
      </c>
      <c r="E266" s="85">
        <f t="shared" si="22"/>
        <v>16</v>
      </c>
      <c r="F266" s="85" t="str">
        <f t="shared" si="23"/>
        <v>pm</v>
      </c>
      <c r="G266" s="85" t="s">
        <v>355</v>
      </c>
      <c r="H266" s="85" t="s">
        <v>175</v>
      </c>
      <c r="I266" s="85" t="s">
        <v>844</v>
      </c>
      <c r="K266" s="86">
        <f t="shared" si="24"/>
        <v>2567.1046561128701</v>
      </c>
      <c r="M266" s="86">
        <v>2600</v>
      </c>
      <c r="O266" s="85">
        <v>2672.5298221415514</v>
      </c>
      <c r="P266" s="85">
        <v>2567.1046561128701</v>
      </c>
    </row>
    <row r="267" spans="1:18" x14ac:dyDescent="0.3">
      <c r="A267" s="85">
        <v>5</v>
      </c>
      <c r="C267" s="85">
        <f t="shared" si="20"/>
        <v>4</v>
      </c>
      <c r="D267" s="85">
        <f t="shared" si="21"/>
        <v>4</v>
      </c>
      <c r="E267" s="85">
        <f t="shared" si="22"/>
        <v>16</v>
      </c>
      <c r="F267" s="85" t="str">
        <f t="shared" si="23"/>
        <v>pm</v>
      </c>
      <c r="G267" s="85" t="s">
        <v>356</v>
      </c>
      <c r="H267" s="85" t="s">
        <v>177</v>
      </c>
      <c r="I267" s="85" t="s">
        <v>357</v>
      </c>
      <c r="K267" s="86">
        <f t="shared" si="24"/>
        <v>2673.1207483164376</v>
      </c>
      <c r="M267" s="86">
        <v>2600</v>
      </c>
      <c r="P267" s="85">
        <v>2659.5481757882421</v>
      </c>
      <c r="Q267" s="85">
        <v>2673.1207483164376</v>
      </c>
    </row>
    <row r="268" spans="1:18" x14ac:dyDescent="0.3">
      <c r="A268" s="85">
        <v>6</v>
      </c>
      <c r="C268" s="85">
        <f t="shared" si="20"/>
        <v>5</v>
      </c>
      <c r="D268" s="85">
        <f t="shared" si="21"/>
        <v>5</v>
      </c>
      <c r="E268" s="85">
        <f t="shared" si="22"/>
        <v>16</v>
      </c>
      <c r="F268" s="85" t="str">
        <f t="shared" si="23"/>
        <v>pm</v>
      </c>
      <c r="G268" s="85" t="s">
        <v>377</v>
      </c>
      <c r="H268" s="85" t="s">
        <v>177</v>
      </c>
      <c r="I268" s="85" t="s">
        <v>378</v>
      </c>
      <c r="K268" s="86">
        <f t="shared" si="24"/>
        <v>2426.3630241308842</v>
      </c>
      <c r="M268" s="86">
        <v>2600</v>
      </c>
      <c r="O268" s="85">
        <v>2576.6911553687651</v>
      </c>
      <c r="P268" s="85">
        <v>2447.7127781169233</v>
      </c>
      <c r="Q268" s="85">
        <v>2426.3630241308842</v>
      </c>
    </row>
    <row r="269" spans="1:18" x14ac:dyDescent="0.3">
      <c r="A269" s="85">
        <v>3</v>
      </c>
      <c r="C269" s="85">
        <f t="shared" si="20"/>
        <v>6</v>
      </c>
      <c r="D269" s="85">
        <f t="shared" si="21"/>
        <v>6</v>
      </c>
      <c r="E269" s="85">
        <f t="shared" si="22"/>
        <v>16</v>
      </c>
      <c r="F269" s="85" t="str">
        <f t="shared" si="23"/>
        <v>pm</v>
      </c>
      <c r="G269" s="85" t="s">
        <v>380</v>
      </c>
      <c r="H269" s="85" t="s">
        <v>145</v>
      </c>
      <c r="I269" s="85" t="s">
        <v>845</v>
      </c>
      <c r="K269" s="86">
        <f t="shared" si="24"/>
        <v>2757.3384734737615</v>
      </c>
      <c r="M269" s="86">
        <v>2600</v>
      </c>
      <c r="N269" s="85">
        <v>2722.9696572781031</v>
      </c>
      <c r="P269" s="85">
        <v>2757.3384734737615</v>
      </c>
    </row>
    <row r="270" spans="1:18" x14ac:dyDescent="0.3">
      <c r="A270" s="85">
        <v>1</v>
      </c>
      <c r="C270" s="85">
        <f t="shared" si="20"/>
        <v>7</v>
      </c>
      <c r="D270" s="85">
        <f t="shared" si="21"/>
        <v>7</v>
      </c>
      <c r="E270" s="85">
        <f t="shared" si="22"/>
        <v>16</v>
      </c>
      <c r="F270" s="85" t="str">
        <f t="shared" si="23"/>
        <v>pmx</v>
      </c>
      <c r="G270" s="85" t="s">
        <v>358</v>
      </c>
      <c r="H270" s="85" t="s">
        <v>184</v>
      </c>
      <c r="I270" s="85" t="s">
        <v>846</v>
      </c>
      <c r="K270" s="86">
        <f t="shared" si="24"/>
        <v>2600</v>
      </c>
      <c r="M270" s="86">
        <v>2600</v>
      </c>
    </row>
    <row r="271" spans="1:18" x14ac:dyDescent="0.3">
      <c r="A271" s="85">
        <v>7</v>
      </c>
      <c r="C271" s="85">
        <f t="shared" si="20"/>
        <v>8</v>
      </c>
      <c r="D271" s="85">
        <f t="shared" si="21"/>
        <v>8</v>
      </c>
      <c r="E271" s="85">
        <f t="shared" si="22"/>
        <v>16</v>
      </c>
      <c r="F271" s="85" t="str">
        <f t="shared" si="23"/>
        <v>pm</v>
      </c>
      <c r="G271" s="85" t="s">
        <v>359</v>
      </c>
      <c r="H271" s="85" t="s">
        <v>342</v>
      </c>
      <c r="I271" s="85" t="s">
        <v>847</v>
      </c>
      <c r="K271" s="86">
        <f t="shared" si="24"/>
        <v>2297.2781864265162</v>
      </c>
      <c r="M271" s="86">
        <v>2600</v>
      </c>
      <c r="O271" s="85">
        <v>2472.9439059976125</v>
      </c>
      <c r="P271" s="85">
        <v>2358.4875528013863</v>
      </c>
      <c r="Q271" s="85">
        <v>2297.2781864265162</v>
      </c>
    </row>
    <row r="272" spans="1:18" x14ac:dyDescent="0.3">
      <c r="A272" s="85">
        <v>3</v>
      </c>
      <c r="C272" s="85">
        <f t="shared" si="20"/>
        <v>9</v>
      </c>
      <c r="D272" s="85">
        <f t="shared" si="21"/>
        <v>9</v>
      </c>
      <c r="E272" s="85">
        <f t="shared" si="22"/>
        <v>16</v>
      </c>
      <c r="F272" s="85" t="str">
        <f t="shared" si="23"/>
        <v>pm</v>
      </c>
      <c r="G272" s="85" t="s">
        <v>361</v>
      </c>
      <c r="H272" s="85" t="s">
        <v>186</v>
      </c>
      <c r="I272" s="85" t="s">
        <v>848</v>
      </c>
      <c r="K272" s="86">
        <f t="shared" si="24"/>
        <v>2600</v>
      </c>
      <c r="M272" s="86">
        <v>2600</v>
      </c>
    </row>
    <row r="273" spans="1:17" x14ac:dyDescent="0.3">
      <c r="A273" s="85">
        <v>2</v>
      </c>
      <c r="C273" s="85">
        <f t="shared" si="20"/>
        <v>10</v>
      </c>
      <c r="D273" s="85">
        <f t="shared" si="21"/>
        <v>10</v>
      </c>
      <c r="E273" s="85">
        <f t="shared" si="22"/>
        <v>16</v>
      </c>
      <c r="F273" s="85" t="str">
        <f t="shared" si="23"/>
        <v>pm</v>
      </c>
      <c r="G273" s="85" t="s">
        <v>381</v>
      </c>
      <c r="H273" s="85" t="s">
        <v>204</v>
      </c>
      <c r="I273" s="85" t="s">
        <v>382</v>
      </c>
      <c r="K273" s="86">
        <f t="shared" si="24"/>
        <v>2705.5892446180078</v>
      </c>
      <c r="M273" s="86">
        <v>2600</v>
      </c>
      <c r="O273" s="85">
        <v>2705.5892446180078</v>
      </c>
    </row>
    <row r="274" spans="1:17" x14ac:dyDescent="0.3">
      <c r="A274" s="85">
        <v>7</v>
      </c>
      <c r="C274" s="85">
        <f t="shared" si="20"/>
        <v>11</v>
      </c>
      <c r="D274" s="85">
        <f t="shared" si="21"/>
        <v>11</v>
      </c>
      <c r="E274" s="85">
        <f t="shared" si="22"/>
        <v>16</v>
      </c>
      <c r="F274" s="85" t="str">
        <f t="shared" si="23"/>
        <v>pm</v>
      </c>
      <c r="G274" s="85" t="s">
        <v>364</v>
      </c>
      <c r="H274" s="85" t="s">
        <v>153</v>
      </c>
      <c r="I274" s="85" t="s">
        <v>849</v>
      </c>
      <c r="K274" s="86">
        <f t="shared" si="24"/>
        <v>2530.5046236731951</v>
      </c>
      <c r="M274" s="86">
        <v>2600</v>
      </c>
      <c r="O274" s="85">
        <v>2593.0976126550672</v>
      </c>
      <c r="P274" s="85">
        <v>2553.0896955519429</v>
      </c>
      <c r="Q274" s="85">
        <v>2530.5046236731951</v>
      </c>
    </row>
    <row r="275" spans="1:17" x14ac:dyDescent="0.3">
      <c r="A275" s="85">
        <v>2</v>
      </c>
      <c r="C275" s="85">
        <f t="shared" si="20"/>
        <v>12</v>
      </c>
      <c r="D275" s="85">
        <f t="shared" si="21"/>
        <v>12</v>
      </c>
      <c r="E275" s="85">
        <f t="shared" si="22"/>
        <v>16</v>
      </c>
      <c r="F275" s="85" t="str">
        <f t="shared" si="23"/>
        <v>pm</v>
      </c>
      <c r="G275" s="85" t="s">
        <v>365</v>
      </c>
      <c r="H275" s="85" t="s">
        <v>258</v>
      </c>
      <c r="I275" s="85" t="s">
        <v>850</v>
      </c>
      <c r="K275" s="86">
        <f t="shared" si="24"/>
        <v>2600</v>
      </c>
      <c r="M275" s="86">
        <v>2600</v>
      </c>
    </row>
    <row r="276" spans="1:17" x14ac:dyDescent="0.3">
      <c r="A276" s="85">
        <v>1</v>
      </c>
      <c r="C276" s="85">
        <f t="shared" si="20"/>
        <v>13</v>
      </c>
      <c r="D276" s="85">
        <f t="shared" si="21"/>
        <v>13</v>
      </c>
      <c r="E276" s="85">
        <f t="shared" si="22"/>
        <v>16</v>
      </c>
      <c r="F276" s="85" t="str">
        <f t="shared" si="23"/>
        <v>pmx</v>
      </c>
      <c r="G276" s="85" t="s">
        <v>366</v>
      </c>
      <c r="H276" s="85" t="s">
        <v>163</v>
      </c>
      <c r="I276" s="85" t="s">
        <v>367</v>
      </c>
      <c r="K276" s="86">
        <f t="shared" si="24"/>
        <v>2643.9003410912414</v>
      </c>
      <c r="M276" s="86">
        <v>2600</v>
      </c>
      <c r="Q276" s="85">
        <v>2643.9003410912414</v>
      </c>
    </row>
    <row r="277" spans="1:17" x14ac:dyDescent="0.3">
      <c r="A277" s="85">
        <v>4</v>
      </c>
      <c r="C277" s="85">
        <f t="shared" si="20"/>
        <v>14</v>
      </c>
      <c r="D277" s="85">
        <f t="shared" si="21"/>
        <v>14</v>
      </c>
      <c r="E277" s="85">
        <f t="shared" si="22"/>
        <v>16</v>
      </c>
      <c r="F277" s="85" t="str">
        <f t="shared" si="23"/>
        <v>pm</v>
      </c>
      <c r="G277" s="85" t="s">
        <v>851</v>
      </c>
      <c r="H277" s="85" t="s">
        <v>162</v>
      </c>
      <c r="I277" s="85" t="s">
        <v>852</v>
      </c>
      <c r="K277" s="86">
        <f t="shared" si="24"/>
        <v>2563.6487837848899</v>
      </c>
      <c r="M277" s="86">
        <v>2600</v>
      </c>
      <c r="O277" s="85">
        <v>2563.6487837848899</v>
      </c>
    </row>
    <row r="278" spans="1:17" x14ac:dyDescent="0.3">
      <c r="A278" s="85">
        <v>5</v>
      </c>
      <c r="C278" s="85">
        <f t="shared" si="20"/>
        <v>15</v>
      </c>
      <c r="D278" s="85">
        <f t="shared" si="21"/>
        <v>15</v>
      </c>
      <c r="E278" s="85">
        <f t="shared" si="22"/>
        <v>16</v>
      </c>
      <c r="F278" s="85" t="str">
        <f t="shared" si="23"/>
        <v>pm</v>
      </c>
      <c r="G278" s="85" t="s">
        <v>853</v>
      </c>
      <c r="H278" s="85" t="s">
        <v>236</v>
      </c>
      <c r="I278" s="85" t="s">
        <v>854</v>
      </c>
      <c r="K278" s="86">
        <f t="shared" si="24"/>
        <v>2545.1767463852784</v>
      </c>
      <c r="M278" s="86">
        <v>2600</v>
      </c>
      <c r="P278" s="85">
        <v>2524.8183993026673</v>
      </c>
      <c r="Q278" s="85">
        <v>2545.1767463852784</v>
      </c>
    </row>
    <row r="279" spans="1:17" x14ac:dyDescent="0.3">
      <c r="A279" s="85">
        <v>4</v>
      </c>
      <c r="C279" s="85">
        <f t="shared" si="20"/>
        <v>16</v>
      </c>
      <c r="D279" s="85">
        <f t="shared" si="21"/>
        <v>16</v>
      </c>
      <c r="E279" s="85">
        <f t="shared" si="22"/>
        <v>16</v>
      </c>
      <c r="F279" s="85" t="str">
        <f t="shared" si="23"/>
        <v>pm</v>
      </c>
      <c r="G279" s="85" t="s">
        <v>383</v>
      </c>
      <c r="H279" s="85" t="s">
        <v>497</v>
      </c>
      <c r="I279" s="85" t="s">
        <v>855</v>
      </c>
      <c r="K279" s="86">
        <f t="shared" si="24"/>
        <v>2515.2106931687822</v>
      </c>
      <c r="M279" s="86">
        <v>2600</v>
      </c>
      <c r="P279" s="85">
        <v>2503.9998422119766</v>
      </c>
      <c r="Q279" s="85">
        <v>2515.2106931687822</v>
      </c>
    </row>
    <row r="280" spans="1:17" x14ac:dyDescent="0.3">
      <c r="A280" s="85">
        <v>2</v>
      </c>
      <c r="C280" s="85">
        <f t="shared" si="20"/>
        <v>17</v>
      </c>
      <c r="D280" s="85">
        <f t="shared" si="21"/>
        <v>17</v>
      </c>
      <c r="E280" s="85">
        <f t="shared" si="22"/>
        <v>16</v>
      </c>
      <c r="F280" s="85" t="str">
        <f t="shared" si="23"/>
        <v>pm</v>
      </c>
      <c r="G280" s="85" t="s">
        <v>856</v>
      </c>
      <c r="H280" s="85" t="s">
        <v>534</v>
      </c>
      <c r="I280" s="85" t="s">
        <v>857</v>
      </c>
      <c r="K280" s="86">
        <f t="shared" si="24"/>
        <v>2579.4507109220276</v>
      </c>
      <c r="M280" s="86">
        <v>2600</v>
      </c>
      <c r="Q280" s="85">
        <v>2579.4507109220276</v>
      </c>
    </row>
    <row r="281" spans="1:17" x14ac:dyDescent="0.3">
      <c r="A281" s="85">
        <v>3</v>
      </c>
      <c r="C281" s="85">
        <f t="shared" si="20"/>
        <v>18</v>
      </c>
      <c r="D281" s="85">
        <f t="shared" si="21"/>
        <v>18</v>
      </c>
      <c r="E281" s="85">
        <f t="shared" si="22"/>
        <v>16</v>
      </c>
      <c r="F281" s="85" t="str">
        <f t="shared" si="23"/>
        <v>pm</v>
      </c>
      <c r="G281" s="85" t="s">
        <v>369</v>
      </c>
      <c r="H281" s="85" t="s">
        <v>167</v>
      </c>
      <c r="I281" s="85" t="s">
        <v>370</v>
      </c>
      <c r="K281" s="86">
        <f t="shared" si="24"/>
        <v>2611.0820809665233</v>
      </c>
      <c r="M281" s="86">
        <v>2600</v>
      </c>
      <c r="Q281" s="85">
        <v>2611.0820809665233</v>
      </c>
    </row>
    <row r="282" spans="1:17" x14ac:dyDescent="0.3">
      <c r="A282" s="85">
        <v>5</v>
      </c>
      <c r="C282" s="85">
        <f t="shared" si="20"/>
        <v>19</v>
      </c>
      <c r="D282" s="85">
        <f t="shared" si="21"/>
        <v>19</v>
      </c>
      <c r="E282" s="85">
        <f t="shared" si="22"/>
        <v>16</v>
      </c>
      <c r="F282" s="85" t="str">
        <f t="shared" si="23"/>
        <v>pm</v>
      </c>
      <c r="G282" s="85" t="s">
        <v>371</v>
      </c>
      <c r="H282" s="85" t="s">
        <v>167</v>
      </c>
      <c r="I282" s="85" t="s">
        <v>858</v>
      </c>
      <c r="K282" s="86">
        <f t="shared" si="24"/>
        <v>2479.0279188189843</v>
      </c>
      <c r="M282" s="86">
        <v>2600</v>
      </c>
      <c r="O282" s="85">
        <v>2527.0281820476162</v>
      </c>
      <c r="Q282" s="85">
        <v>2479.0279188189843</v>
      </c>
    </row>
    <row r="283" spans="1:17" x14ac:dyDescent="0.3">
      <c r="A283" s="85">
        <v>5</v>
      </c>
      <c r="C283" s="85">
        <f t="shared" si="20"/>
        <v>20</v>
      </c>
      <c r="D283" s="85">
        <f t="shared" si="21"/>
        <v>20</v>
      </c>
      <c r="E283" s="85">
        <f t="shared" si="22"/>
        <v>16</v>
      </c>
      <c r="F283" s="85" t="str">
        <f t="shared" si="23"/>
        <v>pm</v>
      </c>
      <c r="G283" s="85" t="s">
        <v>395</v>
      </c>
      <c r="H283" s="85" t="s">
        <v>167</v>
      </c>
      <c r="I283" s="85" t="s">
        <v>859</v>
      </c>
      <c r="K283" s="86">
        <f t="shared" si="24"/>
        <v>2420.7473380462216</v>
      </c>
      <c r="M283" s="86">
        <v>2600</v>
      </c>
      <c r="O283" s="85">
        <v>2506.0968226223522</v>
      </c>
      <c r="Q283" s="85">
        <v>2420.7473380462216</v>
      </c>
    </row>
    <row r="284" spans="1:17" x14ac:dyDescent="0.3">
      <c r="A284" s="85">
        <v>1</v>
      </c>
      <c r="C284" s="85">
        <f t="shared" si="20"/>
        <v>21</v>
      </c>
      <c r="D284" s="85">
        <f t="shared" si="21"/>
        <v>21</v>
      </c>
      <c r="E284" s="85">
        <f t="shared" si="22"/>
        <v>16</v>
      </c>
      <c r="F284" s="85" t="str">
        <f t="shared" si="23"/>
        <v>pmx</v>
      </c>
      <c r="G284" s="85" t="s">
        <v>860</v>
      </c>
      <c r="H284" s="85" t="s">
        <v>500</v>
      </c>
      <c r="I284" s="85" t="s">
        <v>861</v>
      </c>
      <c r="K284" s="86">
        <f t="shared" si="24"/>
        <v>2600</v>
      </c>
      <c r="M284" s="86">
        <v>2600</v>
      </c>
    </row>
    <row r="285" spans="1:17" x14ac:dyDescent="0.3">
      <c r="A285" s="85">
        <v>2</v>
      </c>
      <c r="C285" s="85">
        <f t="shared" si="20"/>
        <v>22</v>
      </c>
      <c r="D285" s="85">
        <f t="shared" si="21"/>
        <v>22</v>
      </c>
      <c r="E285" s="85">
        <f t="shared" si="22"/>
        <v>16</v>
      </c>
      <c r="F285" s="85" t="str">
        <f t="shared" si="23"/>
        <v>pm</v>
      </c>
      <c r="G285" s="85" t="s">
        <v>862</v>
      </c>
      <c r="H285" s="85" t="s">
        <v>331</v>
      </c>
      <c r="I285" s="85" t="s">
        <v>863</v>
      </c>
      <c r="K285" s="86">
        <f t="shared" si="24"/>
        <v>2672.5719297904616</v>
      </c>
      <c r="M285" s="86">
        <v>2600</v>
      </c>
      <c r="P285" s="85">
        <v>2672.5719297904616</v>
      </c>
    </row>
    <row r="286" spans="1:17" x14ac:dyDescent="0.3">
      <c r="A286" s="85">
        <v>2</v>
      </c>
      <c r="C286" s="85">
        <f t="shared" si="20"/>
        <v>23</v>
      </c>
      <c r="D286" s="85">
        <f t="shared" si="21"/>
        <v>23</v>
      </c>
      <c r="E286" s="85">
        <f t="shared" si="22"/>
        <v>16</v>
      </c>
      <c r="F286" s="85" t="str">
        <f t="shared" si="23"/>
        <v>pm</v>
      </c>
      <c r="G286" s="85" t="s">
        <v>864</v>
      </c>
      <c r="H286" s="85" t="s">
        <v>331</v>
      </c>
      <c r="I286" s="85" t="s">
        <v>865</v>
      </c>
      <c r="K286" s="86">
        <f t="shared" si="24"/>
        <v>2575.1856509639724</v>
      </c>
      <c r="M286" s="86">
        <v>2600</v>
      </c>
      <c r="P286" s="85">
        <v>2575.1856509639724</v>
      </c>
    </row>
    <row r="287" spans="1:17" x14ac:dyDescent="0.3">
      <c r="A287" s="85">
        <v>3</v>
      </c>
      <c r="C287" s="85">
        <f t="shared" si="20"/>
        <v>24</v>
      </c>
      <c r="D287" s="85">
        <f t="shared" si="21"/>
        <v>24</v>
      </c>
      <c r="E287" s="85">
        <f t="shared" si="22"/>
        <v>16</v>
      </c>
      <c r="F287" s="85" t="str">
        <f t="shared" si="23"/>
        <v>pm</v>
      </c>
      <c r="G287" s="85" t="s">
        <v>374</v>
      </c>
      <c r="H287" s="85" t="s">
        <v>502</v>
      </c>
      <c r="I287" s="85" t="s">
        <v>866</v>
      </c>
      <c r="K287" s="86">
        <f t="shared" si="24"/>
        <v>2600</v>
      </c>
      <c r="M287" s="86">
        <v>2600</v>
      </c>
    </row>
    <row r="288" spans="1:17" x14ac:dyDescent="0.3">
      <c r="A288" s="85">
        <v>2</v>
      </c>
      <c r="C288" s="85">
        <f t="shared" si="20"/>
        <v>25</v>
      </c>
      <c r="D288" s="85">
        <f t="shared" si="21"/>
        <v>25</v>
      </c>
      <c r="E288" s="85">
        <f t="shared" si="22"/>
        <v>16</v>
      </c>
      <c r="F288" s="85" t="str">
        <f t="shared" si="23"/>
        <v>cr</v>
      </c>
      <c r="G288" s="85" t="s">
        <v>867</v>
      </c>
      <c r="H288" s="85" t="s">
        <v>495</v>
      </c>
      <c r="I288" s="85" t="s">
        <v>868</v>
      </c>
      <c r="K288" s="86">
        <f t="shared" si="24"/>
        <v>2665.7413599974529</v>
      </c>
      <c r="M288" s="86">
        <v>2600</v>
      </c>
      <c r="O288" s="85">
        <v>2665.7413599974529</v>
      </c>
    </row>
    <row r="289" spans="1:17" x14ac:dyDescent="0.3">
      <c r="A289" s="85">
        <v>1</v>
      </c>
      <c r="C289" s="85">
        <f t="shared" si="20"/>
        <v>26</v>
      </c>
      <c r="D289" s="85">
        <f t="shared" si="21"/>
        <v>26</v>
      </c>
      <c r="E289" s="85">
        <f t="shared" si="22"/>
        <v>16</v>
      </c>
      <c r="F289" s="85" t="str">
        <f t="shared" si="23"/>
        <v>crx</v>
      </c>
      <c r="G289" s="85" t="s">
        <v>351</v>
      </c>
      <c r="H289" s="85" t="s">
        <v>869</v>
      </c>
      <c r="I289" s="85" t="s">
        <v>352</v>
      </c>
      <c r="K289" s="86">
        <f t="shared" si="24"/>
        <v>2606.0774111634073</v>
      </c>
      <c r="M289" s="86">
        <v>2600</v>
      </c>
      <c r="P289" s="85">
        <v>2606.0774111634073</v>
      </c>
    </row>
    <row r="290" spans="1:17" x14ac:dyDescent="0.3">
      <c r="A290" s="85">
        <v>1</v>
      </c>
      <c r="C290" s="85">
        <f t="shared" si="20"/>
        <v>27</v>
      </c>
      <c r="D290" s="85">
        <f t="shared" si="21"/>
        <v>27</v>
      </c>
      <c r="E290" s="85">
        <f t="shared" si="22"/>
        <v>16</v>
      </c>
      <c r="F290" s="85" t="str">
        <f t="shared" si="23"/>
        <v>crx</v>
      </c>
      <c r="G290" s="85" t="s">
        <v>870</v>
      </c>
      <c r="H290" s="85" t="s">
        <v>871</v>
      </c>
      <c r="I290" s="85" t="s">
        <v>872</v>
      </c>
      <c r="K290" s="86">
        <f t="shared" si="24"/>
        <v>2600</v>
      </c>
      <c r="M290" s="86">
        <v>2600</v>
      </c>
    </row>
    <row r="291" spans="1:17" x14ac:dyDescent="0.3">
      <c r="A291" s="85">
        <v>1</v>
      </c>
      <c r="C291" s="85">
        <f t="shared" si="20"/>
        <v>28</v>
      </c>
      <c r="D291" s="85">
        <f t="shared" si="21"/>
        <v>27</v>
      </c>
      <c r="E291" s="85">
        <f t="shared" si="22"/>
        <v>16</v>
      </c>
      <c r="F291" s="85" t="str">
        <f t="shared" si="23"/>
        <v>crx</v>
      </c>
      <c r="G291" s="85" t="s">
        <v>873</v>
      </c>
      <c r="H291" s="85" t="s">
        <v>874</v>
      </c>
      <c r="I291" s="85" t="s">
        <v>875</v>
      </c>
      <c r="K291" s="86">
        <f t="shared" si="24"/>
        <v>2600</v>
      </c>
      <c r="M291" s="86">
        <v>2600</v>
      </c>
    </row>
    <row r="292" spans="1:17" x14ac:dyDescent="0.3">
      <c r="A292" s="85">
        <v>1</v>
      </c>
      <c r="C292" s="85">
        <f t="shared" si="20"/>
        <v>29</v>
      </c>
      <c r="D292" s="85">
        <f t="shared" si="21"/>
        <v>27</v>
      </c>
      <c r="E292" s="85">
        <f t="shared" si="22"/>
        <v>16</v>
      </c>
      <c r="F292" s="85" t="str">
        <f t="shared" si="23"/>
        <v>crx</v>
      </c>
      <c r="G292" s="85" t="s">
        <v>876</v>
      </c>
      <c r="H292" s="85" t="s">
        <v>874</v>
      </c>
      <c r="I292" s="85" t="s">
        <v>877</v>
      </c>
      <c r="K292" s="86">
        <f t="shared" si="24"/>
        <v>2600</v>
      </c>
      <c r="M292" s="86">
        <v>2600</v>
      </c>
    </row>
    <row r="293" spans="1:17" x14ac:dyDescent="0.3">
      <c r="A293" s="85">
        <v>1</v>
      </c>
      <c r="C293" s="85">
        <f t="shared" si="20"/>
        <v>30</v>
      </c>
      <c r="D293" s="85">
        <f t="shared" si="21"/>
        <v>27</v>
      </c>
      <c r="E293" s="85">
        <f t="shared" si="22"/>
        <v>16</v>
      </c>
      <c r="F293" s="85" t="str">
        <f t="shared" si="23"/>
        <v>crx</v>
      </c>
      <c r="G293" s="85" t="s">
        <v>878</v>
      </c>
      <c r="H293" s="85" t="s">
        <v>576</v>
      </c>
      <c r="I293" s="85" t="s">
        <v>879</v>
      </c>
      <c r="K293" s="86">
        <f t="shared" si="24"/>
        <v>2600</v>
      </c>
      <c r="M293" s="86">
        <v>2600</v>
      </c>
    </row>
    <row r="294" spans="1:17" x14ac:dyDescent="0.3">
      <c r="A294" s="85">
        <v>1</v>
      </c>
      <c r="C294" s="85">
        <f t="shared" si="20"/>
        <v>31</v>
      </c>
      <c r="D294" s="85">
        <f t="shared" si="21"/>
        <v>27</v>
      </c>
      <c r="E294" s="85">
        <f t="shared" si="22"/>
        <v>16</v>
      </c>
      <c r="F294" s="85" t="str">
        <f t="shared" si="23"/>
        <v>crx</v>
      </c>
      <c r="G294" s="85" t="s">
        <v>880</v>
      </c>
      <c r="H294" s="85" t="s">
        <v>579</v>
      </c>
      <c r="I294" s="85" t="s">
        <v>881</v>
      </c>
      <c r="K294" s="86">
        <f t="shared" si="24"/>
        <v>2600</v>
      </c>
      <c r="M294" s="86">
        <v>2600</v>
      </c>
    </row>
    <row r="295" spans="1:17" x14ac:dyDescent="0.3">
      <c r="A295" s="85">
        <v>1</v>
      </c>
      <c r="C295" s="85">
        <f t="shared" si="20"/>
        <v>32</v>
      </c>
      <c r="D295" s="85">
        <f t="shared" si="21"/>
        <v>27</v>
      </c>
      <c r="E295" s="85">
        <f t="shared" si="22"/>
        <v>16</v>
      </c>
      <c r="F295" s="85" t="str">
        <f t="shared" si="23"/>
        <v>crx</v>
      </c>
      <c r="G295" s="85" t="s">
        <v>882</v>
      </c>
      <c r="H295" s="85" t="s">
        <v>579</v>
      </c>
      <c r="I295" s="85" t="s">
        <v>883</v>
      </c>
      <c r="K295" s="86">
        <f t="shared" si="24"/>
        <v>2600</v>
      </c>
      <c r="M295" s="86">
        <v>2600</v>
      </c>
    </row>
    <row r="296" spans="1:17" x14ac:dyDescent="0.3">
      <c r="A296" s="85">
        <v>1</v>
      </c>
      <c r="C296" s="85">
        <f t="shared" si="20"/>
        <v>33</v>
      </c>
      <c r="D296" s="85">
        <f t="shared" si="21"/>
        <v>27</v>
      </c>
      <c r="E296" s="85">
        <f t="shared" si="22"/>
        <v>16</v>
      </c>
      <c r="F296" s="85" t="str">
        <f t="shared" si="23"/>
        <v>gex</v>
      </c>
      <c r="G296" s="85" t="s">
        <v>884</v>
      </c>
      <c r="H296" s="85" t="s">
        <v>885</v>
      </c>
      <c r="I296" s="85" t="s">
        <v>886</v>
      </c>
      <c r="K296" s="86">
        <f t="shared" si="24"/>
        <v>2600</v>
      </c>
      <c r="M296" s="86">
        <v>2600</v>
      </c>
    </row>
    <row r="297" spans="1:17" x14ac:dyDescent="0.3">
      <c r="A297" s="85">
        <v>1</v>
      </c>
      <c r="C297" s="85">
        <f t="shared" si="20"/>
        <v>34</v>
      </c>
      <c r="D297" s="85">
        <f t="shared" si="21"/>
        <v>27</v>
      </c>
      <c r="E297" s="85">
        <f t="shared" si="22"/>
        <v>16</v>
      </c>
      <c r="F297" s="85" t="str">
        <f t="shared" si="23"/>
        <v>sox</v>
      </c>
      <c r="G297" s="85" t="s">
        <v>887</v>
      </c>
      <c r="H297" s="85" t="s">
        <v>888</v>
      </c>
      <c r="I297" s="85" t="s">
        <v>889</v>
      </c>
      <c r="K297" s="86">
        <f t="shared" si="24"/>
        <v>2600</v>
      </c>
      <c r="M297" s="86">
        <v>2600</v>
      </c>
    </row>
    <row r="298" spans="1:17" x14ac:dyDescent="0.3">
      <c r="A298" s="85">
        <v>1</v>
      </c>
      <c r="C298" s="85">
        <f t="shared" si="20"/>
        <v>35</v>
      </c>
      <c r="D298" s="85">
        <f t="shared" si="21"/>
        <v>27</v>
      </c>
      <c r="E298" s="85">
        <f t="shared" si="22"/>
        <v>16</v>
      </c>
      <c r="F298" s="85" t="str">
        <f t="shared" si="23"/>
        <v>sox</v>
      </c>
      <c r="G298" s="85" t="s">
        <v>890</v>
      </c>
      <c r="H298" s="85" t="s">
        <v>785</v>
      </c>
      <c r="I298" s="85" t="s">
        <v>891</v>
      </c>
      <c r="K298" s="86">
        <f t="shared" si="24"/>
        <v>2600</v>
      </c>
      <c r="M298" s="86">
        <v>2600</v>
      </c>
    </row>
    <row r="299" spans="1:17" x14ac:dyDescent="0.3">
      <c r="A299" s="85">
        <v>3</v>
      </c>
      <c r="C299" s="85">
        <f t="shared" si="20"/>
        <v>36</v>
      </c>
      <c r="D299" s="85">
        <f t="shared" si="21"/>
        <v>27</v>
      </c>
      <c r="E299" s="85">
        <f t="shared" si="22"/>
        <v>16</v>
      </c>
      <c r="F299" s="85" t="str">
        <f t="shared" si="23"/>
        <v>pm</v>
      </c>
      <c r="G299" s="85" t="s">
        <v>360</v>
      </c>
      <c r="H299" s="85" t="s">
        <v>186</v>
      </c>
      <c r="I299" s="85" t="s">
        <v>892</v>
      </c>
      <c r="K299" s="86">
        <f t="shared" si="24"/>
        <v>2600</v>
      </c>
      <c r="M299" s="86">
        <v>2600</v>
      </c>
    </row>
    <row r="300" spans="1:17" x14ac:dyDescent="0.3">
      <c r="A300" s="85">
        <v>2</v>
      </c>
      <c r="C300" s="85">
        <f t="shared" si="20"/>
        <v>37</v>
      </c>
      <c r="D300" s="85">
        <f t="shared" si="21"/>
        <v>37</v>
      </c>
      <c r="E300" s="85">
        <f t="shared" si="22"/>
        <v>16</v>
      </c>
      <c r="F300" s="85" t="str">
        <f t="shared" si="23"/>
        <v>pm</v>
      </c>
      <c r="G300" s="85" t="s">
        <v>375</v>
      </c>
      <c r="H300" s="85" t="s">
        <v>497</v>
      </c>
      <c r="I300" s="85" t="s">
        <v>893</v>
      </c>
      <c r="K300" s="86">
        <f t="shared" si="24"/>
        <v>2619.4647988942984</v>
      </c>
      <c r="M300" s="86">
        <v>2600</v>
      </c>
      <c r="P300" s="85">
        <v>2619.4647988942984</v>
      </c>
    </row>
    <row r="301" spans="1:17" x14ac:dyDescent="0.3">
      <c r="A301" s="85">
        <v>1</v>
      </c>
      <c r="C301" s="85">
        <f t="shared" si="20"/>
        <v>38</v>
      </c>
      <c r="D301" s="85">
        <f t="shared" si="21"/>
        <v>38</v>
      </c>
      <c r="E301" s="85">
        <f t="shared" si="22"/>
        <v>16</v>
      </c>
      <c r="F301" s="85" t="str">
        <f t="shared" si="23"/>
        <v>gex</v>
      </c>
      <c r="G301" s="85" t="s">
        <v>894</v>
      </c>
      <c r="H301" s="85" t="s">
        <v>885</v>
      </c>
      <c r="I301" s="85" t="s">
        <v>895</v>
      </c>
      <c r="K301" s="86">
        <f t="shared" si="24"/>
        <v>2600</v>
      </c>
      <c r="M301" s="86">
        <v>2600</v>
      </c>
    </row>
    <row r="302" spans="1:17" x14ac:dyDescent="0.3">
      <c r="A302" s="85">
        <v>6</v>
      </c>
      <c r="C302" s="85">
        <f t="shared" si="20"/>
        <v>39</v>
      </c>
      <c r="D302" s="85">
        <f t="shared" si="21"/>
        <v>39</v>
      </c>
      <c r="E302" s="85">
        <f t="shared" si="22"/>
        <v>16</v>
      </c>
      <c r="F302" s="85" t="str">
        <f t="shared" si="23"/>
        <v>pm</v>
      </c>
      <c r="G302" s="85" t="s">
        <v>393</v>
      </c>
      <c r="H302" s="85" t="s">
        <v>186</v>
      </c>
      <c r="I302" s="85" t="s">
        <v>896</v>
      </c>
      <c r="K302" s="86">
        <f t="shared" si="24"/>
        <v>2404.4111144743861</v>
      </c>
      <c r="M302" s="86">
        <v>2533.3333333333335</v>
      </c>
      <c r="O302" s="85">
        <v>2506.500676192396</v>
      </c>
      <c r="Q302" s="85">
        <v>2404.4111144743861</v>
      </c>
    </row>
    <row r="303" spans="1:17" x14ac:dyDescent="0.3">
      <c r="A303" s="85">
        <v>4</v>
      </c>
      <c r="C303" s="85">
        <f t="shared" si="20"/>
        <v>40</v>
      </c>
      <c r="D303" s="85">
        <f t="shared" si="21"/>
        <v>40</v>
      </c>
      <c r="E303" s="85">
        <f t="shared" si="22"/>
        <v>16</v>
      </c>
      <c r="F303" s="85" t="str">
        <f t="shared" si="23"/>
        <v>pm</v>
      </c>
      <c r="G303" s="85" t="s">
        <v>897</v>
      </c>
      <c r="H303" s="85" t="s">
        <v>675</v>
      </c>
      <c r="I303" s="85" t="s">
        <v>898</v>
      </c>
      <c r="K303" s="86">
        <f t="shared" si="24"/>
        <v>2435.5218465919183</v>
      </c>
      <c r="M303" s="86">
        <v>2500</v>
      </c>
      <c r="N303" s="85">
        <v>2435.5218465919183</v>
      </c>
    </row>
    <row r="304" spans="1:17" x14ac:dyDescent="0.3">
      <c r="A304" s="85">
        <v>3</v>
      </c>
      <c r="C304" s="85">
        <f t="shared" si="20"/>
        <v>41</v>
      </c>
      <c r="D304" s="85">
        <f t="shared" si="21"/>
        <v>41</v>
      </c>
      <c r="E304" s="85">
        <f t="shared" si="22"/>
        <v>16</v>
      </c>
      <c r="F304" s="85" t="str">
        <f t="shared" si="23"/>
        <v>pm</v>
      </c>
      <c r="G304" s="85" t="s">
        <v>385</v>
      </c>
      <c r="H304" s="85" t="s">
        <v>159</v>
      </c>
      <c r="I304" s="85" t="s">
        <v>386</v>
      </c>
      <c r="K304" s="86">
        <f t="shared" si="24"/>
        <v>2581.2018990502715</v>
      </c>
      <c r="M304" s="86">
        <v>2466.6666666666665</v>
      </c>
      <c r="P304" s="85">
        <v>2581.2018990502715</v>
      </c>
    </row>
    <row r="305" spans="1:18" x14ac:dyDescent="0.3">
      <c r="A305" s="85">
        <v>5</v>
      </c>
      <c r="C305" s="85">
        <f t="shared" si="20"/>
        <v>42</v>
      </c>
      <c r="D305" s="85">
        <f t="shared" si="21"/>
        <v>42</v>
      </c>
      <c r="E305" s="85">
        <f t="shared" si="22"/>
        <v>16</v>
      </c>
      <c r="F305" s="85" t="str">
        <f t="shared" si="23"/>
        <v>pm</v>
      </c>
      <c r="G305" s="85" t="s">
        <v>899</v>
      </c>
      <c r="H305" s="85" t="s">
        <v>526</v>
      </c>
      <c r="I305" s="85" t="s">
        <v>900</v>
      </c>
      <c r="K305" s="86">
        <f t="shared" si="24"/>
        <v>2463.775049186359</v>
      </c>
      <c r="M305" s="86">
        <v>2440</v>
      </c>
      <c r="O305" s="85">
        <v>2451.2167880233792</v>
      </c>
      <c r="R305" s="85">
        <v>2463.775049186359</v>
      </c>
    </row>
    <row r="306" spans="1:18" x14ac:dyDescent="0.3">
      <c r="A306" s="85">
        <v>2</v>
      </c>
      <c r="C306" s="85">
        <f t="shared" si="20"/>
        <v>43</v>
      </c>
      <c r="D306" s="85">
        <f t="shared" si="21"/>
        <v>43</v>
      </c>
      <c r="E306" s="85">
        <f t="shared" si="22"/>
        <v>16</v>
      </c>
      <c r="F306" s="85" t="str">
        <f t="shared" si="23"/>
        <v>pm</v>
      </c>
      <c r="G306" s="85" t="s">
        <v>389</v>
      </c>
      <c r="H306" s="85" t="s">
        <v>277</v>
      </c>
      <c r="I306" s="85" t="s">
        <v>390</v>
      </c>
      <c r="K306" s="86">
        <f t="shared" si="24"/>
        <v>2412.7691341746354</v>
      </c>
      <c r="M306" s="86">
        <v>2400</v>
      </c>
      <c r="N306" s="85">
        <v>2412.7691341746354</v>
      </c>
    </row>
    <row r="307" spans="1:18" x14ac:dyDescent="0.3">
      <c r="A307" s="85">
        <v>4</v>
      </c>
      <c r="C307" s="85">
        <f t="shared" si="20"/>
        <v>44</v>
      </c>
      <c r="D307" s="85">
        <f t="shared" si="21"/>
        <v>44</v>
      </c>
      <c r="E307" s="85">
        <f t="shared" si="22"/>
        <v>16</v>
      </c>
      <c r="F307" s="85" t="str">
        <f t="shared" si="23"/>
        <v>pm</v>
      </c>
      <c r="G307" s="85" t="s">
        <v>368</v>
      </c>
      <c r="H307" s="85" t="s">
        <v>163</v>
      </c>
      <c r="I307" s="85" t="s">
        <v>901</v>
      </c>
      <c r="K307" s="86">
        <f t="shared" si="24"/>
        <v>2429.9562010977725</v>
      </c>
      <c r="M307" s="86">
        <v>2400</v>
      </c>
      <c r="P307" s="85">
        <v>2398.7776442920149</v>
      </c>
      <c r="Q307" s="85">
        <v>2429.9562010977725</v>
      </c>
    </row>
    <row r="308" spans="1:18" x14ac:dyDescent="0.3">
      <c r="A308" s="85">
        <v>2</v>
      </c>
      <c r="C308" s="85">
        <f t="shared" si="20"/>
        <v>45</v>
      </c>
      <c r="D308" s="85">
        <f t="shared" si="21"/>
        <v>45</v>
      </c>
      <c r="E308" s="85">
        <f t="shared" si="22"/>
        <v>16</v>
      </c>
      <c r="F308" s="85" t="str">
        <f t="shared" si="23"/>
        <v>pm</v>
      </c>
      <c r="G308" s="85" t="s">
        <v>902</v>
      </c>
      <c r="H308" s="85" t="s">
        <v>206</v>
      </c>
      <c r="I308" s="85" t="s">
        <v>903</v>
      </c>
      <c r="K308" s="86">
        <f t="shared" si="24"/>
        <v>2559.6004804126883</v>
      </c>
      <c r="M308" s="86">
        <v>2400</v>
      </c>
      <c r="P308" s="85">
        <v>2559.6004804126883</v>
      </c>
    </row>
    <row r="309" spans="1:18" x14ac:dyDescent="0.3">
      <c r="A309" s="85">
        <v>2</v>
      </c>
      <c r="C309" s="85">
        <f t="shared" si="20"/>
        <v>46</v>
      </c>
      <c r="D309" s="85">
        <f t="shared" si="21"/>
        <v>46</v>
      </c>
      <c r="E309" s="85">
        <f t="shared" si="22"/>
        <v>16</v>
      </c>
      <c r="F309" s="85" t="str">
        <f t="shared" si="23"/>
        <v>pm</v>
      </c>
      <c r="G309" s="85" t="s">
        <v>384</v>
      </c>
      <c r="H309" s="85" t="s">
        <v>159</v>
      </c>
      <c r="I309" s="85" t="s">
        <v>904</v>
      </c>
      <c r="K309" s="86">
        <f t="shared" si="24"/>
        <v>2400</v>
      </c>
      <c r="M309" s="86">
        <v>2400</v>
      </c>
    </row>
    <row r="310" spans="1:18" x14ac:dyDescent="0.3">
      <c r="A310" s="85">
        <v>2</v>
      </c>
      <c r="C310" s="85">
        <f t="shared" si="20"/>
        <v>47</v>
      </c>
      <c r="D310" s="85">
        <f t="shared" si="21"/>
        <v>46</v>
      </c>
      <c r="E310" s="85">
        <f t="shared" si="22"/>
        <v>16</v>
      </c>
      <c r="F310" s="85" t="str">
        <f t="shared" si="23"/>
        <v>so</v>
      </c>
      <c r="G310" s="85" t="s">
        <v>905</v>
      </c>
      <c r="H310" s="85" t="s">
        <v>785</v>
      </c>
      <c r="I310" s="85" t="s">
        <v>906</v>
      </c>
      <c r="K310" s="86">
        <f t="shared" si="24"/>
        <v>2400</v>
      </c>
      <c r="M310" s="86">
        <v>2400</v>
      </c>
    </row>
    <row r="311" spans="1:18" x14ac:dyDescent="0.3">
      <c r="A311" s="85">
        <v>5</v>
      </c>
      <c r="C311" s="85">
        <f t="shared" si="20"/>
        <v>48</v>
      </c>
      <c r="D311" s="85">
        <f t="shared" si="21"/>
        <v>48</v>
      </c>
      <c r="E311" s="85">
        <f t="shared" si="22"/>
        <v>16</v>
      </c>
      <c r="F311" s="85" t="str">
        <f t="shared" si="23"/>
        <v>pm</v>
      </c>
      <c r="G311" s="85" t="s">
        <v>396</v>
      </c>
      <c r="H311" s="85" t="s">
        <v>562</v>
      </c>
      <c r="I311" s="85" t="s">
        <v>397</v>
      </c>
      <c r="K311" s="86">
        <f t="shared" si="24"/>
        <v>2444.33874364762</v>
      </c>
      <c r="M311" s="86">
        <v>2360</v>
      </c>
      <c r="N311" s="85">
        <v>2378.6478158384998</v>
      </c>
      <c r="P311" s="85">
        <v>2399.7073966884218</v>
      </c>
      <c r="R311" s="85">
        <v>2444.33874364762</v>
      </c>
    </row>
    <row r="312" spans="1:18" x14ac:dyDescent="0.3">
      <c r="A312" s="85">
        <v>3</v>
      </c>
      <c r="C312" s="85">
        <f t="shared" si="20"/>
        <v>49</v>
      </c>
      <c r="D312" s="85">
        <f t="shared" si="21"/>
        <v>49</v>
      </c>
      <c r="E312" s="85">
        <f t="shared" si="22"/>
        <v>16</v>
      </c>
      <c r="F312" s="85" t="str">
        <f t="shared" si="23"/>
        <v>pm</v>
      </c>
      <c r="G312" s="85" t="s">
        <v>379</v>
      </c>
      <c r="H312" s="85" t="s">
        <v>277</v>
      </c>
      <c r="I312" s="85" t="s">
        <v>907</v>
      </c>
      <c r="K312" s="86">
        <f t="shared" si="24"/>
        <v>2294.7471419006729</v>
      </c>
      <c r="M312" s="86">
        <v>2333.3333333333335</v>
      </c>
      <c r="O312" s="85">
        <v>2350.4492194249574</v>
      </c>
      <c r="R312" s="85">
        <v>2294.7471419006729</v>
      </c>
    </row>
    <row r="313" spans="1:18" x14ac:dyDescent="0.3">
      <c r="A313" s="85">
        <v>3</v>
      </c>
      <c r="C313" s="85">
        <f t="shared" si="20"/>
        <v>50</v>
      </c>
      <c r="D313" s="85">
        <f t="shared" si="21"/>
        <v>50</v>
      </c>
      <c r="E313" s="85">
        <f t="shared" si="22"/>
        <v>16</v>
      </c>
      <c r="F313" s="85" t="str">
        <f t="shared" si="23"/>
        <v>pm</v>
      </c>
      <c r="G313" s="85" t="s">
        <v>387</v>
      </c>
      <c r="H313" s="85" t="s">
        <v>159</v>
      </c>
      <c r="I313" s="85" t="s">
        <v>908</v>
      </c>
      <c r="K313" s="86">
        <f t="shared" si="24"/>
        <v>2440.4966018677383</v>
      </c>
      <c r="M313" s="86">
        <v>2333.3333333333335</v>
      </c>
      <c r="P313" s="85">
        <v>2440.4966018677383</v>
      </c>
    </row>
    <row r="314" spans="1:18" x14ac:dyDescent="0.3">
      <c r="A314" s="85">
        <v>3</v>
      </c>
      <c r="C314" s="85">
        <f t="shared" si="20"/>
        <v>51</v>
      </c>
      <c r="D314" s="85">
        <f t="shared" si="21"/>
        <v>51</v>
      </c>
      <c r="E314" s="85">
        <f t="shared" si="22"/>
        <v>16</v>
      </c>
      <c r="F314" s="85" t="str">
        <f t="shared" si="23"/>
        <v>pm</v>
      </c>
      <c r="G314" s="85" t="s">
        <v>909</v>
      </c>
      <c r="H314" s="85" t="s">
        <v>159</v>
      </c>
      <c r="I314" s="85" t="s">
        <v>910</v>
      </c>
      <c r="K314" s="86">
        <f t="shared" si="24"/>
        <v>2348.2124168226542</v>
      </c>
      <c r="M314" s="86">
        <v>2333.3333333333335</v>
      </c>
      <c r="P314" s="85">
        <v>2348.2124168226542</v>
      </c>
    </row>
    <row r="315" spans="1:18" x14ac:dyDescent="0.3">
      <c r="A315" s="85">
        <v>5</v>
      </c>
      <c r="C315" s="85">
        <f t="shared" si="20"/>
        <v>52</v>
      </c>
      <c r="D315" s="85">
        <f t="shared" si="21"/>
        <v>52</v>
      </c>
      <c r="E315" s="85">
        <f t="shared" si="22"/>
        <v>16</v>
      </c>
      <c r="F315" s="85" t="str">
        <f t="shared" si="23"/>
        <v>pm</v>
      </c>
      <c r="G315" s="85" t="s">
        <v>388</v>
      </c>
      <c r="H315" s="85" t="s">
        <v>549</v>
      </c>
      <c r="I315" s="85" t="s">
        <v>911</v>
      </c>
      <c r="K315" s="86">
        <f t="shared" si="24"/>
        <v>2414.7958578041998</v>
      </c>
      <c r="M315" s="86">
        <v>2320</v>
      </c>
      <c r="N315" s="85">
        <v>2349.5946590373273</v>
      </c>
      <c r="P315" s="85">
        <v>2452.2858462021122</v>
      </c>
      <c r="R315" s="85">
        <v>2414.7958578041998</v>
      </c>
    </row>
    <row r="316" spans="1:18" x14ac:dyDescent="0.3">
      <c r="A316" s="85">
        <v>4</v>
      </c>
      <c r="C316" s="85">
        <f t="shared" si="20"/>
        <v>53</v>
      </c>
      <c r="D316" s="85">
        <f t="shared" si="21"/>
        <v>53</v>
      </c>
      <c r="E316" s="85">
        <f t="shared" si="22"/>
        <v>16</v>
      </c>
      <c r="F316" s="85" t="str">
        <f t="shared" si="23"/>
        <v>pm</v>
      </c>
      <c r="G316" s="85" t="s">
        <v>912</v>
      </c>
      <c r="H316" s="85" t="s">
        <v>534</v>
      </c>
      <c r="I316" s="85" t="s">
        <v>913</v>
      </c>
      <c r="K316" s="86">
        <f t="shared" si="24"/>
        <v>2351.0771552233873</v>
      </c>
      <c r="M316" s="86">
        <v>2300</v>
      </c>
      <c r="P316" s="85">
        <v>2351.0771552233873</v>
      </c>
    </row>
    <row r="317" spans="1:18" x14ac:dyDescent="0.3">
      <c r="A317" s="85">
        <v>4</v>
      </c>
      <c r="C317" s="85">
        <f t="shared" si="20"/>
        <v>54</v>
      </c>
      <c r="D317" s="85">
        <f t="shared" si="21"/>
        <v>54</v>
      </c>
      <c r="E317" s="85">
        <f t="shared" si="22"/>
        <v>16</v>
      </c>
      <c r="F317" s="85" t="str">
        <f t="shared" si="23"/>
        <v>pm</v>
      </c>
      <c r="G317" s="85" t="s">
        <v>914</v>
      </c>
      <c r="H317" s="85" t="s">
        <v>331</v>
      </c>
      <c r="I317" s="85" t="s">
        <v>915</v>
      </c>
      <c r="K317" s="86">
        <f t="shared" si="24"/>
        <v>2228.6080523393039</v>
      </c>
      <c r="M317" s="86">
        <v>2300</v>
      </c>
      <c r="N317" s="85">
        <v>2240.5536622425197</v>
      </c>
      <c r="P317" s="85">
        <v>2228.6080523393039</v>
      </c>
    </row>
    <row r="318" spans="1:18" x14ac:dyDescent="0.3">
      <c r="A318" s="85">
        <v>6</v>
      </c>
      <c r="C318" s="85">
        <f t="shared" si="20"/>
        <v>55</v>
      </c>
      <c r="D318" s="85">
        <f t="shared" si="21"/>
        <v>55</v>
      </c>
      <c r="E318" s="85">
        <f t="shared" si="22"/>
        <v>16</v>
      </c>
      <c r="F318" s="85" t="str">
        <f t="shared" si="23"/>
        <v>pm</v>
      </c>
      <c r="G318" s="85" t="s">
        <v>376</v>
      </c>
      <c r="H318" s="85" t="s">
        <v>308</v>
      </c>
      <c r="I318" s="85" t="s">
        <v>916</v>
      </c>
      <c r="K318" s="86">
        <f t="shared" si="24"/>
        <v>2316.1452674617358</v>
      </c>
      <c r="M318" s="86">
        <v>2266.6666666666665</v>
      </c>
      <c r="P318" s="85">
        <v>2282.9565164409532</v>
      </c>
      <c r="R318" s="85">
        <v>2316.1452674617358</v>
      </c>
    </row>
    <row r="319" spans="1:18" x14ac:dyDescent="0.3">
      <c r="A319" s="85">
        <v>6</v>
      </c>
      <c r="C319" s="85">
        <f t="shared" si="20"/>
        <v>56</v>
      </c>
      <c r="D319" s="85">
        <f t="shared" si="21"/>
        <v>56</v>
      </c>
      <c r="E319" s="85">
        <f t="shared" si="22"/>
        <v>16</v>
      </c>
      <c r="F319" s="85" t="str">
        <f t="shared" si="23"/>
        <v>pm</v>
      </c>
      <c r="G319" s="85" t="s">
        <v>391</v>
      </c>
      <c r="H319" s="85" t="s">
        <v>392</v>
      </c>
      <c r="I319" s="85" t="s">
        <v>917</v>
      </c>
      <c r="K319" s="86">
        <f t="shared" si="24"/>
        <v>2205.2983897548643</v>
      </c>
      <c r="M319" s="86">
        <v>2200</v>
      </c>
      <c r="N319" s="85">
        <v>2177.6728316862236</v>
      </c>
      <c r="P319" s="85">
        <v>2266.6337502919241</v>
      </c>
      <c r="R319" s="85">
        <v>2205.2983897548643</v>
      </c>
    </row>
    <row r="320" spans="1:18" x14ac:dyDescent="0.3">
      <c r="A320" s="85">
        <v>2</v>
      </c>
      <c r="C320" s="85">
        <f t="shared" si="20"/>
        <v>57</v>
      </c>
      <c r="D320" s="85">
        <f t="shared" si="21"/>
        <v>57</v>
      </c>
      <c r="E320" s="85">
        <f t="shared" si="22"/>
        <v>16</v>
      </c>
      <c r="F320" s="85" t="str">
        <f t="shared" si="23"/>
        <v>pm</v>
      </c>
      <c r="G320" s="85" t="s">
        <v>918</v>
      </c>
      <c r="H320" s="85" t="s">
        <v>515</v>
      </c>
      <c r="I320" s="85" t="s">
        <v>919</v>
      </c>
      <c r="K320" s="86">
        <f t="shared" si="24"/>
        <v>2200</v>
      </c>
      <c r="M320" s="86">
        <v>2200</v>
      </c>
    </row>
    <row r="321" spans="1:18" x14ac:dyDescent="0.3">
      <c r="A321" s="85">
        <v>4</v>
      </c>
      <c r="C321" s="85">
        <f t="shared" si="20"/>
        <v>58</v>
      </c>
      <c r="D321" s="85">
        <f t="shared" si="21"/>
        <v>58</v>
      </c>
      <c r="E321" s="85">
        <f t="shared" si="22"/>
        <v>16</v>
      </c>
      <c r="F321" s="85" t="str">
        <f t="shared" si="23"/>
        <v>pm</v>
      </c>
      <c r="G321" s="85" t="s">
        <v>920</v>
      </c>
      <c r="H321" s="85" t="s">
        <v>339</v>
      </c>
      <c r="I321" s="85" t="s">
        <v>921</v>
      </c>
      <c r="K321" s="86">
        <f t="shared" si="24"/>
        <v>2189.1224640919872</v>
      </c>
      <c r="M321" s="86">
        <v>2200</v>
      </c>
      <c r="P321" s="85">
        <v>2189.1224640919872</v>
      </c>
    </row>
    <row r="322" spans="1:18" x14ac:dyDescent="0.3">
      <c r="A322" s="85">
        <v>2</v>
      </c>
      <c r="C322" s="85">
        <f t="shared" ref="C322:C385" si="25">IF(E322=E321,C321+1,1)</f>
        <v>59</v>
      </c>
      <c r="D322" s="85">
        <f t="shared" ref="D322:D385" si="26">IF(K322=K321,D321,C322)</f>
        <v>59</v>
      </c>
      <c r="E322" s="85">
        <f t="shared" ref="E322:E385" si="27">10+VALUE(RIGHT(LEFT(G322,3),1))</f>
        <v>16</v>
      </c>
      <c r="F322" s="85" t="str">
        <f t="shared" ref="F322:F385" si="28">RIGHT(G322,2) &amp; IF(A322&lt;2,"x","")</f>
        <v>pm</v>
      </c>
      <c r="G322" s="85" t="s">
        <v>922</v>
      </c>
      <c r="H322" s="85" t="s">
        <v>519</v>
      </c>
      <c r="I322" s="85" t="s">
        <v>923</v>
      </c>
      <c r="K322" s="86">
        <f t="shared" ref="K322:K385" si="29">LOOKUP(1E+100,M322:AB322)</f>
        <v>2096.2478710055943</v>
      </c>
      <c r="M322" s="86">
        <v>2200</v>
      </c>
      <c r="N322" s="85">
        <v>2124.4926134098159</v>
      </c>
      <c r="R322" s="85">
        <v>2096.2478710055943</v>
      </c>
    </row>
    <row r="323" spans="1:18" x14ac:dyDescent="0.3">
      <c r="A323" s="85">
        <v>5</v>
      </c>
      <c r="C323" s="85">
        <f t="shared" si="25"/>
        <v>60</v>
      </c>
      <c r="D323" s="85">
        <f t="shared" si="26"/>
        <v>60</v>
      </c>
      <c r="E323" s="85">
        <f t="shared" si="27"/>
        <v>16</v>
      </c>
      <c r="F323" s="85" t="str">
        <f t="shared" si="28"/>
        <v>pm</v>
      </c>
      <c r="G323" s="85" t="s">
        <v>924</v>
      </c>
      <c r="H323" s="85" t="s">
        <v>175</v>
      </c>
      <c r="I323" s="85" t="s">
        <v>925</v>
      </c>
      <c r="K323" s="86">
        <f t="shared" si="29"/>
        <v>2246.0256926694246</v>
      </c>
      <c r="M323" s="86">
        <v>2200</v>
      </c>
      <c r="N323" s="85">
        <v>2160.485456451649</v>
      </c>
      <c r="P323" s="85">
        <v>2246.0256926694246</v>
      </c>
    </row>
    <row r="324" spans="1:18" x14ac:dyDescent="0.3">
      <c r="A324" s="85">
        <v>7</v>
      </c>
      <c r="C324" s="85">
        <f t="shared" si="25"/>
        <v>61</v>
      </c>
      <c r="D324" s="85">
        <f t="shared" si="26"/>
        <v>61</v>
      </c>
      <c r="E324" s="85">
        <f t="shared" si="27"/>
        <v>16</v>
      </c>
      <c r="F324" s="85" t="str">
        <f t="shared" si="28"/>
        <v>pm</v>
      </c>
      <c r="G324" s="85" t="s">
        <v>926</v>
      </c>
      <c r="H324" s="85" t="s">
        <v>177</v>
      </c>
      <c r="I324" s="85" t="s">
        <v>927</v>
      </c>
      <c r="K324" s="86">
        <f t="shared" si="29"/>
        <v>2067.6599257225844</v>
      </c>
      <c r="M324" s="86">
        <v>2200</v>
      </c>
      <c r="N324" s="85">
        <v>2166.6305951950408</v>
      </c>
      <c r="P324" s="85">
        <v>2131.4347293190935</v>
      </c>
      <c r="R324" s="85">
        <v>2067.6599257225844</v>
      </c>
    </row>
    <row r="325" spans="1:18" x14ac:dyDescent="0.3">
      <c r="A325" s="85">
        <v>6</v>
      </c>
      <c r="C325" s="85">
        <f t="shared" si="25"/>
        <v>62</v>
      </c>
      <c r="D325" s="85">
        <f t="shared" si="26"/>
        <v>62</v>
      </c>
      <c r="E325" s="85">
        <f t="shared" si="27"/>
        <v>16</v>
      </c>
      <c r="F325" s="85" t="str">
        <f t="shared" si="28"/>
        <v>pm</v>
      </c>
      <c r="G325" s="85" t="s">
        <v>928</v>
      </c>
      <c r="H325" s="85" t="s">
        <v>526</v>
      </c>
      <c r="I325" s="85" t="s">
        <v>929</v>
      </c>
      <c r="K325" s="86">
        <f t="shared" si="29"/>
        <v>2097.4331027739217</v>
      </c>
      <c r="M325" s="86">
        <v>2200</v>
      </c>
      <c r="P325" s="85">
        <v>2137.3159746233223</v>
      </c>
      <c r="R325" s="85">
        <v>2097.4331027739217</v>
      </c>
    </row>
    <row r="326" spans="1:18" x14ac:dyDescent="0.3">
      <c r="A326" s="85">
        <v>4</v>
      </c>
      <c r="C326" s="85">
        <f t="shared" si="25"/>
        <v>63</v>
      </c>
      <c r="D326" s="85">
        <f t="shared" si="26"/>
        <v>63</v>
      </c>
      <c r="E326" s="85">
        <f t="shared" si="27"/>
        <v>16</v>
      </c>
      <c r="F326" s="85" t="str">
        <f t="shared" si="28"/>
        <v>pm</v>
      </c>
      <c r="G326" s="85" t="s">
        <v>362</v>
      </c>
      <c r="H326" s="85" t="s">
        <v>150</v>
      </c>
      <c r="I326" s="85" t="s">
        <v>363</v>
      </c>
      <c r="K326" s="86">
        <f t="shared" si="29"/>
        <v>2167.4604437792609</v>
      </c>
      <c r="M326" s="86">
        <v>2200</v>
      </c>
      <c r="P326" s="85">
        <v>2171.5338221361626</v>
      </c>
      <c r="R326" s="85">
        <v>2167.4604437792609</v>
      </c>
    </row>
    <row r="327" spans="1:18" x14ac:dyDescent="0.3">
      <c r="A327" s="85">
        <v>7</v>
      </c>
      <c r="C327" s="85">
        <f t="shared" si="25"/>
        <v>64</v>
      </c>
      <c r="D327" s="85">
        <f t="shared" si="26"/>
        <v>64</v>
      </c>
      <c r="E327" s="85">
        <f t="shared" si="27"/>
        <v>16</v>
      </c>
      <c r="F327" s="85" t="str">
        <f t="shared" si="28"/>
        <v>pm</v>
      </c>
      <c r="G327" s="85" t="s">
        <v>394</v>
      </c>
      <c r="H327" s="85" t="s">
        <v>153</v>
      </c>
      <c r="I327" s="85" t="s">
        <v>930</v>
      </c>
      <c r="K327" s="86">
        <f t="shared" si="29"/>
        <v>2119.9258654445771</v>
      </c>
      <c r="M327" s="86">
        <v>2200</v>
      </c>
      <c r="N327" s="85">
        <v>2142.8617667366602</v>
      </c>
      <c r="P327" s="85">
        <v>2162.529492486251</v>
      </c>
      <c r="R327" s="85">
        <v>2119.9258654445771</v>
      </c>
    </row>
    <row r="328" spans="1:18" x14ac:dyDescent="0.3">
      <c r="A328" s="85">
        <v>5</v>
      </c>
      <c r="C328" s="85">
        <f t="shared" si="25"/>
        <v>65</v>
      </c>
      <c r="D328" s="85">
        <f t="shared" si="26"/>
        <v>65</v>
      </c>
      <c r="E328" s="85">
        <f t="shared" si="27"/>
        <v>16</v>
      </c>
      <c r="F328" s="85" t="str">
        <f t="shared" si="28"/>
        <v>pm</v>
      </c>
      <c r="G328" s="85" t="s">
        <v>931</v>
      </c>
      <c r="H328" s="85" t="s">
        <v>242</v>
      </c>
      <c r="I328" s="85" t="s">
        <v>932</v>
      </c>
      <c r="K328" s="86">
        <f t="shared" si="29"/>
        <v>2138.4190841596073</v>
      </c>
      <c r="M328" s="86">
        <v>2200</v>
      </c>
      <c r="P328" s="85">
        <v>2163.4233364273991</v>
      </c>
      <c r="R328" s="85">
        <v>2138.4190841596073</v>
      </c>
    </row>
    <row r="329" spans="1:18" x14ac:dyDescent="0.3">
      <c r="A329" s="85">
        <v>5</v>
      </c>
      <c r="C329" s="85">
        <f t="shared" si="25"/>
        <v>66</v>
      </c>
      <c r="D329" s="85">
        <f t="shared" si="26"/>
        <v>66</v>
      </c>
      <c r="E329" s="85">
        <f t="shared" si="27"/>
        <v>16</v>
      </c>
      <c r="F329" s="85" t="str">
        <f t="shared" si="28"/>
        <v>pm</v>
      </c>
      <c r="G329" s="85" t="s">
        <v>933</v>
      </c>
      <c r="H329" s="85" t="s">
        <v>242</v>
      </c>
      <c r="I329" s="85" t="s">
        <v>934</v>
      </c>
      <c r="K329" s="86">
        <f t="shared" si="29"/>
        <v>2013.3700384810331</v>
      </c>
      <c r="M329" s="86">
        <v>2200</v>
      </c>
      <c r="P329" s="85">
        <v>2120.6626175619003</v>
      </c>
      <c r="R329" s="85">
        <v>2013.3700384810331</v>
      </c>
    </row>
    <row r="330" spans="1:18" x14ac:dyDescent="0.3">
      <c r="A330" s="85">
        <v>2</v>
      </c>
      <c r="C330" s="85">
        <f t="shared" si="25"/>
        <v>67</v>
      </c>
      <c r="D330" s="85">
        <f t="shared" si="26"/>
        <v>67</v>
      </c>
      <c r="E330" s="85">
        <f t="shared" si="27"/>
        <v>16</v>
      </c>
      <c r="F330" s="85" t="str">
        <f t="shared" si="28"/>
        <v>pm</v>
      </c>
      <c r="G330" s="85" t="s">
        <v>935</v>
      </c>
      <c r="H330" s="85" t="s">
        <v>675</v>
      </c>
      <c r="I330" s="85" t="s">
        <v>936</v>
      </c>
      <c r="K330" s="86">
        <f t="shared" si="29"/>
        <v>2200</v>
      </c>
      <c r="M330" s="86">
        <v>2200</v>
      </c>
    </row>
    <row r="331" spans="1:18" x14ac:dyDescent="0.3">
      <c r="A331" s="85">
        <v>1</v>
      </c>
      <c r="C331" s="85">
        <f t="shared" si="25"/>
        <v>68</v>
      </c>
      <c r="D331" s="85">
        <f t="shared" si="26"/>
        <v>67</v>
      </c>
      <c r="E331" s="85">
        <f t="shared" si="27"/>
        <v>16</v>
      </c>
      <c r="F331" s="85" t="str">
        <f t="shared" si="28"/>
        <v>crx</v>
      </c>
      <c r="G331" s="85" t="s">
        <v>937</v>
      </c>
      <c r="H331" s="85" t="s">
        <v>722</v>
      </c>
      <c r="I331" s="85" t="s">
        <v>938</v>
      </c>
      <c r="K331" s="86">
        <f t="shared" si="29"/>
        <v>2200</v>
      </c>
      <c r="M331" s="86">
        <v>2200</v>
      </c>
    </row>
    <row r="332" spans="1:18" x14ac:dyDescent="0.3">
      <c r="A332" s="85">
        <v>1</v>
      </c>
      <c r="C332" s="85">
        <f t="shared" si="25"/>
        <v>69</v>
      </c>
      <c r="D332" s="85">
        <f t="shared" si="26"/>
        <v>69</v>
      </c>
      <c r="E332" s="85">
        <f t="shared" si="27"/>
        <v>16</v>
      </c>
      <c r="F332" s="85" t="str">
        <f t="shared" si="28"/>
        <v>crx</v>
      </c>
      <c r="G332" s="85" t="s">
        <v>939</v>
      </c>
      <c r="H332" s="85" t="s">
        <v>442</v>
      </c>
      <c r="I332" s="85" t="s">
        <v>940</v>
      </c>
      <c r="K332" s="86">
        <f t="shared" si="29"/>
        <v>2228.0085930725259</v>
      </c>
      <c r="M332" s="86">
        <v>2200</v>
      </c>
      <c r="R332" s="85">
        <v>2228.0085930725259</v>
      </c>
    </row>
    <row r="333" spans="1:18" x14ac:dyDescent="0.3">
      <c r="A333" s="85">
        <v>1</v>
      </c>
      <c r="C333" s="85">
        <f t="shared" si="25"/>
        <v>70</v>
      </c>
      <c r="D333" s="85">
        <f t="shared" si="26"/>
        <v>70</v>
      </c>
      <c r="E333" s="85">
        <f t="shared" si="27"/>
        <v>16</v>
      </c>
      <c r="F333" s="85" t="str">
        <f t="shared" si="28"/>
        <v>crx</v>
      </c>
      <c r="G333" s="85" t="s">
        <v>941</v>
      </c>
      <c r="H333" s="85" t="s">
        <v>942</v>
      </c>
      <c r="I333" s="85" t="s">
        <v>943</v>
      </c>
      <c r="K333" s="86">
        <f t="shared" si="29"/>
        <v>2200</v>
      </c>
      <c r="M333" s="86">
        <v>2200</v>
      </c>
    </row>
    <row r="334" spans="1:18" x14ac:dyDescent="0.3">
      <c r="A334" s="85">
        <v>3</v>
      </c>
      <c r="C334" s="85">
        <f t="shared" si="25"/>
        <v>71</v>
      </c>
      <c r="D334" s="85">
        <f t="shared" si="26"/>
        <v>71</v>
      </c>
      <c r="E334" s="85">
        <f t="shared" si="27"/>
        <v>16</v>
      </c>
      <c r="F334" s="85" t="str">
        <f t="shared" si="28"/>
        <v>cr</v>
      </c>
      <c r="G334" s="85" t="s">
        <v>944</v>
      </c>
      <c r="H334" s="85" t="s">
        <v>628</v>
      </c>
      <c r="I334" s="85" t="s">
        <v>945</v>
      </c>
      <c r="K334" s="86">
        <f t="shared" si="29"/>
        <v>2253.5432271726222</v>
      </c>
      <c r="M334" s="86">
        <v>2200</v>
      </c>
      <c r="R334" s="85">
        <v>2253.5432271726222</v>
      </c>
    </row>
    <row r="335" spans="1:18" x14ac:dyDescent="0.3">
      <c r="A335" s="85">
        <v>3</v>
      </c>
      <c r="C335" s="85">
        <f t="shared" si="25"/>
        <v>72</v>
      </c>
      <c r="D335" s="85">
        <f t="shared" si="26"/>
        <v>72</v>
      </c>
      <c r="E335" s="85">
        <f t="shared" si="27"/>
        <v>16</v>
      </c>
      <c r="F335" s="85" t="str">
        <f t="shared" si="28"/>
        <v>cr</v>
      </c>
      <c r="G335" s="85" t="s">
        <v>372</v>
      </c>
      <c r="H335" s="85" t="s">
        <v>734</v>
      </c>
      <c r="I335" s="85" t="s">
        <v>373</v>
      </c>
      <c r="K335" s="86">
        <f t="shared" si="29"/>
        <v>2315.2987373706328</v>
      </c>
      <c r="M335" s="86">
        <v>2200</v>
      </c>
      <c r="N335" s="85">
        <v>2240.5106942467469</v>
      </c>
      <c r="R335" s="85">
        <v>2315.2987373706328</v>
      </c>
    </row>
    <row r="336" spans="1:18" x14ac:dyDescent="0.3">
      <c r="A336" s="85">
        <v>2</v>
      </c>
      <c r="C336" s="85">
        <f t="shared" si="25"/>
        <v>73</v>
      </c>
      <c r="D336" s="85">
        <f t="shared" si="26"/>
        <v>73</v>
      </c>
      <c r="E336" s="85">
        <f t="shared" si="27"/>
        <v>16</v>
      </c>
      <c r="F336" s="85" t="str">
        <f t="shared" si="28"/>
        <v>so</v>
      </c>
      <c r="G336" s="85" t="s">
        <v>946</v>
      </c>
      <c r="H336" s="85" t="s">
        <v>633</v>
      </c>
      <c r="I336" s="85" t="s">
        <v>947</v>
      </c>
      <c r="K336" s="86">
        <f t="shared" si="29"/>
        <v>2189.3610241924102</v>
      </c>
      <c r="M336" s="86">
        <v>2200</v>
      </c>
      <c r="R336" s="85">
        <v>2189.3610241924102</v>
      </c>
    </row>
    <row r="337" spans="1:18" x14ac:dyDescent="0.3">
      <c r="A337" s="85">
        <v>2</v>
      </c>
      <c r="C337" s="85">
        <f t="shared" si="25"/>
        <v>74</v>
      </c>
      <c r="D337" s="85">
        <f t="shared" si="26"/>
        <v>74</v>
      </c>
      <c r="E337" s="85">
        <f t="shared" si="27"/>
        <v>16</v>
      </c>
      <c r="F337" s="85" t="str">
        <f t="shared" si="28"/>
        <v>so</v>
      </c>
      <c r="G337" s="85" t="s">
        <v>948</v>
      </c>
      <c r="H337" s="85" t="s">
        <v>785</v>
      </c>
      <c r="I337" s="85" t="s">
        <v>949</v>
      </c>
      <c r="K337" s="86">
        <f t="shared" si="29"/>
        <v>2293.7871128671291</v>
      </c>
      <c r="M337" s="86">
        <v>2200</v>
      </c>
      <c r="R337" s="85">
        <v>2293.7871128671291</v>
      </c>
    </row>
    <row r="338" spans="1:18" x14ac:dyDescent="0.3">
      <c r="A338" s="85">
        <v>4</v>
      </c>
      <c r="C338" s="85">
        <f t="shared" si="25"/>
        <v>1</v>
      </c>
      <c r="D338" s="85">
        <f t="shared" si="26"/>
        <v>1</v>
      </c>
      <c r="E338" s="85">
        <f t="shared" si="27"/>
        <v>17</v>
      </c>
      <c r="F338" s="85" t="str">
        <f t="shared" si="28"/>
        <v>pm</v>
      </c>
      <c r="G338" s="85" t="s">
        <v>950</v>
      </c>
      <c r="H338" s="85" t="s">
        <v>144</v>
      </c>
      <c r="I338" s="85" t="s">
        <v>951</v>
      </c>
      <c r="K338" s="86">
        <f t="shared" si="29"/>
        <v>2728.6666577006049</v>
      </c>
      <c r="M338" s="86">
        <v>2800</v>
      </c>
      <c r="P338" s="85">
        <v>2728.6666577006049</v>
      </c>
    </row>
    <row r="339" spans="1:18" x14ac:dyDescent="0.3">
      <c r="A339" s="85">
        <v>5</v>
      </c>
      <c r="C339" s="85">
        <f t="shared" si="25"/>
        <v>2</v>
      </c>
      <c r="D339" s="85">
        <f t="shared" si="26"/>
        <v>2</v>
      </c>
      <c r="E339" s="85">
        <f t="shared" si="27"/>
        <v>17</v>
      </c>
      <c r="F339" s="85" t="str">
        <f t="shared" si="28"/>
        <v>pm</v>
      </c>
      <c r="G339" s="85" t="s">
        <v>398</v>
      </c>
      <c r="H339" s="85" t="s">
        <v>177</v>
      </c>
      <c r="I339" s="85" t="s">
        <v>399</v>
      </c>
      <c r="K339" s="86">
        <f t="shared" si="29"/>
        <v>2846.1776986685436</v>
      </c>
      <c r="M339" s="86">
        <v>2800</v>
      </c>
      <c r="P339" s="85">
        <v>2844.0129082224389</v>
      </c>
      <c r="Q339" s="85">
        <v>2846.1776986685436</v>
      </c>
    </row>
    <row r="340" spans="1:18" x14ac:dyDescent="0.3">
      <c r="A340" s="85">
        <v>7</v>
      </c>
      <c r="C340" s="85">
        <f t="shared" si="25"/>
        <v>3</v>
      </c>
      <c r="D340" s="85">
        <f t="shared" si="26"/>
        <v>3</v>
      </c>
      <c r="E340" s="85">
        <f t="shared" si="27"/>
        <v>17</v>
      </c>
      <c r="F340" s="85" t="str">
        <f t="shared" si="28"/>
        <v>pm</v>
      </c>
      <c r="G340" s="85" t="s">
        <v>952</v>
      </c>
      <c r="H340" s="85" t="s">
        <v>342</v>
      </c>
      <c r="I340" s="85" t="s">
        <v>953</v>
      </c>
      <c r="K340" s="86">
        <f t="shared" si="29"/>
        <v>2661.4968161956031</v>
      </c>
      <c r="M340" s="86">
        <v>2800</v>
      </c>
      <c r="O340" s="85">
        <v>2749.346112386957</v>
      </c>
      <c r="P340" s="85">
        <v>2714.9188943519134</v>
      </c>
      <c r="Q340" s="85">
        <v>2661.4968161956031</v>
      </c>
    </row>
    <row r="341" spans="1:18" x14ac:dyDescent="0.3">
      <c r="A341" s="85">
        <v>5</v>
      </c>
      <c r="C341" s="85">
        <f t="shared" si="25"/>
        <v>4</v>
      </c>
      <c r="D341" s="85">
        <f t="shared" si="26"/>
        <v>4</v>
      </c>
      <c r="E341" s="85">
        <f t="shared" si="27"/>
        <v>17</v>
      </c>
      <c r="F341" s="85" t="str">
        <f t="shared" si="28"/>
        <v>pm</v>
      </c>
      <c r="G341" s="85" t="s">
        <v>954</v>
      </c>
      <c r="H341" s="85" t="s">
        <v>186</v>
      </c>
      <c r="I341" s="85" t="s">
        <v>955</v>
      </c>
      <c r="K341" s="86">
        <f t="shared" si="29"/>
        <v>2767.0478498875204</v>
      </c>
      <c r="M341" s="86">
        <v>2800</v>
      </c>
      <c r="O341" s="85">
        <v>2742.4478838984464</v>
      </c>
      <c r="Q341" s="85">
        <v>2767.0478498875204</v>
      </c>
    </row>
    <row r="342" spans="1:18" x14ac:dyDescent="0.3">
      <c r="A342" s="85">
        <v>2</v>
      </c>
      <c r="C342" s="85">
        <f t="shared" si="25"/>
        <v>5</v>
      </c>
      <c r="D342" s="85">
        <f t="shared" si="26"/>
        <v>5</v>
      </c>
      <c r="E342" s="85">
        <f t="shared" si="27"/>
        <v>17</v>
      </c>
      <c r="F342" s="85" t="str">
        <f t="shared" si="28"/>
        <v>pm</v>
      </c>
      <c r="G342" s="85" t="s">
        <v>956</v>
      </c>
      <c r="H342" s="85" t="s">
        <v>760</v>
      </c>
      <c r="I342" s="85" t="s">
        <v>957</v>
      </c>
      <c r="K342" s="86">
        <f t="shared" si="29"/>
        <v>2728.0482900884726</v>
      </c>
      <c r="M342" s="86">
        <v>2800</v>
      </c>
      <c r="Q342" s="85">
        <v>2728.0482900884726</v>
      </c>
    </row>
    <row r="343" spans="1:18" x14ac:dyDescent="0.3">
      <c r="A343" s="85">
        <v>2</v>
      </c>
      <c r="C343" s="85">
        <f t="shared" si="25"/>
        <v>6</v>
      </c>
      <c r="D343" s="85">
        <f t="shared" si="26"/>
        <v>6</v>
      </c>
      <c r="E343" s="85">
        <f t="shared" si="27"/>
        <v>17</v>
      </c>
      <c r="F343" s="85" t="str">
        <f t="shared" si="28"/>
        <v>pm</v>
      </c>
      <c r="G343" s="85" t="s">
        <v>401</v>
      </c>
      <c r="H343" s="85" t="s">
        <v>497</v>
      </c>
      <c r="I343" s="85" t="s">
        <v>958</v>
      </c>
      <c r="K343" s="86">
        <f t="shared" si="29"/>
        <v>2989.1118009591082</v>
      </c>
      <c r="M343" s="86">
        <v>2800</v>
      </c>
      <c r="P343" s="85">
        <v>2938.7757085360536</v>
      </c>
      <c r="Q343" s="85">
        <v>2989.1118009591082</v>
      </c>
    </row>
    <row r="344" spans="1:18" x14ac:dyDescent="0.3">
      <c r="A344" s="85">
        <v>2</v>
      </c>
      <c r="C344" s="85">
        <f t="shared" si="25"/>
        <v>7</v>
      </c>
      <c r="D344" s="85">
        <f t="shared" si="26"/>
        <v>7</v>
      </c>
      <c r="E344" s="85">
        <f t="shared" si="27"/>
        <v>17</v>
      </c>
      <c r="F344" s="85" t="str">
        <f t="shared" si="28"/>
        <v>pm</v>
      </c>
      <c r="G344" s="85" t="s">
        <v>402</v>
      </c>
      <c r="H344" s="85" t="s">
        <v>167</v>
      </c>
      <c r="I344" s="85" t="s">
        <v>959</v>
      </c>
      <c r="K344" s="86">
        <f t="shared" si="29"/>
        <v>2884.1231986417042</v>
      </c>
      <c r="M344" s="86">
        <v>2800</v>
      </c>
      <c r="Q344" s="85">
        <v>2884.1231986417042</v>
      </c>
    </row>
    <row r="345" spans="1:18" x14ac:dyDescent="0.3">
      <c r="A345" s="85">
        <v>5</v>
      </c>
      <c r="C345" s="85">
        <f t="shared" si="25"/>
        <v>8</v>
      </c>
      <c r="D345" s="85">
        <f t="shared" si="26"/>
        <v>8</v>
      </c>
      <c r="E345" s="85">
        <f t="shared" si="27"/>
        <v>17</v>
      </c>
      <c r="F345" s="85" t="str">
        <f t="shared" si="28"/>
        <v>pm</v>
      </c>
      <c r="G345" s="85" t="s">
        <v>403</v>
      </c>
      <c r="H345" s="85" t="s">
        <v>167</v>
      </c>
      <c r="I345" s="85" t="s">
        <v>960</v>
      </c>
      <c r="K345" s="86">
        <f t="shared" si="29"/>
        <v>2740.3722874626756</v>
      </c>
      <c r="M345" s="86">
        <v>2800</v>
      </c>
      <c r="O345" s="85">
        <v>2776.2225468947754</v>
      </c>
      <c r="Q345" s="85">
        <v>2740.3722874626756</v>
      </c>
    </row>
    <row r="346" spans="1:18" x14ac:dyDescent="0.3">
      <c r="A346" s="85">
        <v>3</v>
      </c>
      <c r="C346" s="85">
        <f t="shared" si="25"/>
        <v>9</v>
      </c>
      <c r="D346" s="85">
        <f t="shared" si="26"/>
        <v>9</v>
      </c>
      <c r="E346" s="85">
        <f t="shared" si="27"/>
        <v>17</v>
      </c>
      <c r="F346" s="85" t="str">
        <f t="shared" si="28"/>
        <v>pm</v>
      </c>
      <c r="G346" s="85" t="s">
        <v>961</v>
      </c>
      <c r="H346" s="85" t="s">
        <v>502</v>
      </c>
      <c r="I346" s="85" t="s">
        <v>962</v>
      </c>
      <c r="K346" s="86">
        <f t="shared" si="29"/>
        <v>2800</v>
      </c>
      <c r="M346" s="86">
        <v>2800</v>
      </c>
    </row>
    <row r="347" spans="1:18" x14ac:dyDescent="0.3">
      <c r="A347" s="85">
        <v>2</v>
      </c>
      <c r="C347" s="85">
        <f t="shared" si="25"/>
        <v>10</v>
      </c>
      <c r="D347" s="85">
        <f t="shared" si="26"/>
        <v>10</v>
      </c>
      <c r="E347" s="85">
        <f t="shared" si="27"/>
        <v>17</v>
      </c>
      <c r="F347" s="85" t="str">
        <f t="shared" si="28"/>
        <v>cr</v>
      </c>
      <c r="G347" s="85" t="s">
        <v>963</v>
      </c>
      <c r="H347" s="85" t="s">
        <v>495</v>
      </c>
      <c r="I347" s="85" t="s">
        <v>964</v>
      </c>
      <c r="K347" s="86">
        <f t="shared" si="29"/>
        <v>2834.658355825698</v>
      </c>
      <c r="M347" s="86">
        <v>2800</v>
      </c>
      <c r="O347" s="85">
        <v>2834.658355825698</v>
      </c>
    </row>
    <row r="348" spans="1:18" x14ac:dyDescent="0.3">
      <c r="A348" s="85">
        <v>1</v>
      </c>
      <c r="C348" s="85">
        <f t="shared" si="25"/>
        <v>11</v>
      </c>
      <c r="D348" s="85">
        <f t="shared" si="26"/>
        <v>11</v>
      </c>
      <c r="E348" s="85">
        <f t="shared" si="27"/>
        <v>17</v>
      </c>
      <c r="F348" s="85" t="str">
        <f t="shared" si="28"/>
        <v>crx</v>
      </c>
      <c r="G348" s="85" t="s">
        <v>965</v>
      </c>
      <c r="H348" s="85" t="s">
        <v>579</v>
      </c>
      <c r="I348" s="85" t="s">
        <v>966</v>
      </c>
      <c r="K348" s="86">
        <f t="shared" si="29"/>
        <v>2800</v>
      </c>
      <c r="M348" s="86">
        <v>2800</v>
      </c>
    </row>
    <row r="349" spans="1:18" x14ac:dyDescent="0.3">
      <c r="A349" s="85">
        <v>1</v>
      </c>
      <c r="C349" s="85">
        <f t="shared" si="25"/>
        <v>12</v>
      </c>
      <c r="D349" s="85">
        <f t="shared" si="26"/>
        <v>11</v>
      </c>
      <c r="E349" s="85">
        <f t="shared" si="27"/>
        <v>17</v>
      </c>
      <c r="F349" s="85" t="str">
        <f t="shared" si="28"/>
        <v>sox</v>
      </c>
      <c r="G349" s="85" t="s">
        <v>967</v>
      </c>
      <c r="H349" s="85" t="s">
        <v>785</v>
      </c>
      <c r="I349" s="85" t="s">
        <v>968</v>
      </c>
      <c r="K349" s="86">
        <f t="shared" si="29"/>
        <v>2800</v>
      </c>
      <c r="M349" s="86">
        <v>2800</v>
      </c>
    </row>
    <row r="350" spans="1:18" x14ac:dyDescent="0.3">
      <c r="A350" s="85">
        <v>1</v>
      </c>
      <c r="C350" s="85">
        <f t="shared" si="25"/>
        <v>13</v>
      </c>
      <c r="D350" s="85">
        <f t="shared" si="26"/>
        <v>11</v>
      </c>
      <c r="E350" s="85">
        <f t="shared" si="27"/>
        <v>17</v>
      </c>
      <c r="F350" s="85" t="str">
        <f t="shared" si="28"/>
        <v>sox</v>
      </c>
      <c r="G350" s="85" t="s">
        <v>440</v>
      </c>
      <c r="H350" s="85" t="s">
        <v>785</v>
      </c>
      <c r="I350" s="85" t="s">
        <v>969</v>
      </c>
      <c r="K350" s="86">
        <f t="shared" si="29"/>
        <v>2800</v>
      </c>
      <c r="M350" s="86">
        <v>2800</v>
      </c>
    </row>
    <row r="351" spans="1:18" x14ac:dyDescent="0.3">
      <c r="A351" s="85">
        <v>2</v>
      </c>
      <c r="C351" s="85">
        <f t="shared" si="25"/>
        <v>14</v>
      </c>
      <c r="D351" s="85">
        <f t="shared" si="26"/>
        <v>11</v>
      </c>
      <c r="E351" s="85">
        <f t="shared" si="27"/>
        <v>17</v>
      </c>
      <c r="F351" s="85" t="str">
        <f t="shared" si="28"/>
        <v>pm</v>
      </c>
      <c r="G351" s="85" t="s">
        <v>400</v>
      </c>
      <c r="H351" s="85" t="s">
        <v>186</v>
      </c>
      <c r="I351" s="85" t="s">
        <v>970</v>
      </c>
      <c r="K351" s="86">
        <f t="shared" si="29"/>
        <v>2800</v>
      </c>
      <c r="M351" s="86">
        <v>2800</v>
      </c>
    </row>
    <row r="352" spans="1:18" x14ac:dyDescent="0.3">
      <c r="A352" s="85">
        <v>4</v>
      </c>
      <c r="C352" s="85">
        <f t="shared" si="25"/>
        <v>15</v>
      </c>
      <c r="D352" s="85">
        <f t="shared" si="26"/>
        <v>15</v>
      </c>
      <c r="E352" s="85">
        <f t="shared" si="27"/>
        <v>17</v>
      </c>
      <c r="F352" s="85" t="str">
        <f t="shared" si="28"/>
        <v>so</v>
      </c>
      <c r="G352" s="85" t="s">
        <v>971</v>
      </c>
      <c r="H352" s="85" t="s">
        <v>746</v>
      </c>
      <c r="I352" s="85" t="s">
        <v>972</v>
      </c>
      <c r="K352" s="86">
        <f t="shared" si="29"/>
        <v>2773.7981839155022</v>
      </c>
      <c r="M352" s="86">
        <v>2700</v>
      </c>
      <c r="O352" s="85">
        <v>2773.7981839155022</v>
      </c>
    </row>
    <row r="353" spans="1:18" x14ac:dyDescent="0.3">
      <c r="A353" s="85">
        <v>2</v>
      </c>
      <c r="C353" s="85">
        <f t="shared" si="25"/>
        <v>16</v>
      </c>
      <c r="D353" s="85">
        <f t="shared" si="26"/>
        <v>16</v>
      </c>
      <c r="E353" s="85">
        <f t="shared" si="27"/>
        <v>17</v>
      </c>
      <c r="F353" s="85" t="str">
        <f t="shared" si="28"/>
        <v>pm</v>
      </c>
      <c r="G353" s="85" t="s">
        <v>405</v>
      </c>
      <c r="H353" s="85" t="s">
        <v>277</v>
      </c>
      <c r="I353" s="85" t="s">
        <v>406</v>
      </c>
      <c r="K353" s="86">
        <f t="shared" si="29"/>
        <v>2649.6936331387928</v>
      </c>
      <c r="M353" s="86">
        <v>2600</v>
      </c>
      <c r="N353" s="85">
        <v>2649.6936331387928</v>
      </c>
    </row>
    <row r="354" spans="1:18" x14ac:dyDescent="0.3">
      <c r="A354" s="85">
        <v>6</v>
      </c>
      <c r="C354" s="85">
        <f t="shared" si="25"/>
        <v>17</v>
      </c>
      <c r="D354" s="85">
        <f t="shared" si="26"/>
        <v>17</v>
      </c>
      <c r="E354" s="85">
        <f t="shared" si="27"/>
        <v>17</v>
      </c>
      <c r="F354" s="85" t="str">
        <f t="shared" si="28"/>
        <v>pm</v>
      </c>
      <c r="G354" s="85" t="s">
        <v>407</v>
      </c>
      <c r="H354" s="85" t="s">
        <v>308</v>
      </c>
      <c r="I354" s="85" t="s">
        <v>408</v>
      </c>
      <c r="K354" s="86">
        <f t="shared" si="29"/>
        <v>2603.5447609677722</v>
      </c>
      <c r="M354" s="86">
        <v>2600</v>
      </c>
      <c r="P354" s="85">
        <v>2603.5447609677722</v>
      </c>
    </row>
    <row r="355" spans="1:18" x14ac:dyDescent="0.3">
      <c r="A355" s="85">
        <v>2</v>
      </c>
      <c r="C355" s="85">
        <f t="shared" si="25"/>
        <v>18</v>
      </c>
      <c r="D355" s="85">
        <f t="shared" si="26"/>
        <v>18</v>
      </c>
      <c r="E355" s="85">
        <f t="shared" si="27"/>
        <v>17</v>
      </c>
      <c r="F355" s="85" t="str">
        <f t="shared" si="28"/>
        <v>pm</v>
      </c>
      <c r="G355" s="85" t="s">
        <v>404</v>
      </c>
      <c r="H355" s="85" t="s">
        <v>159</v>
      </c>
      <c r="I355" s="85" t="s">
        <v>973</v>
      </c>
      <c r="K355" s="86">
        <f t="shared" si="29"/>
        <v>2600</v>
      </c>
      <c r="M355" s="86">
        <v>2600</v>
      </c>
    </row>
    <row r="356" spans="1:18" x14ac:dyDescent="0.3">
      <c r="A356" s="85">
        <v>2</v>
      </c>
      <c r="C356" s="85">
        <f t="shared" si="25"/>
        <v>19</v>
      </c>
      <c r="D356" s="85">
        <f t="shared" si="26"/>
        <v>18</v>
      </c>
      <c r="E356" s="85">
        <f t="shared" si="27"/>
        <v>17</v>
      </c>
      <c r="F356" s="85" t="str">
        <f t="shared" si="28"/>
        <v>fl</v>
      </c>
      <c r="G356" s="85" t="s">
        <v>974</v>
      </c>
      <c r="H356" s="85" t="s">
        <v>803</v>
      </c>
      <c r="I356" s="85" t="s">
        <v>975</v>
      </c>
      <c r="K356" s="86">
        <f t="shared" si="29"/>
        <v>2600</v>
      </c>
      <c r="M356" s="86">
        <v>2600</v>
      </c>
    </row>
    <row r="357" spans="1:18" x14ac:dyDescent="0.3">
      <c r="A357" s="85">
        <v>3</v>
      </c>
      <c r="C357" s="85">
        <f t="shared" si="25"/>
        <v>20</v>
      </c>
      <c r="D357" s="85">
        <f t="shared" si="26"/>
        <v>20</v>
      </c>
      <c r="E357" s="85">
        <f t="shared" si="27"/>
        <v>17</v>
      </c>
      <c r="F357" s="85" t="str">
        <f t="shared" si="28"/>
        <v>pm</v>
      </c>
      <c r="G357" s="85" t="s">
        <v>976</v>
      </c>
      <c r="H357" s="85" t="s">
        <v>679</v>
      </c>
      <c r="I357" s="85" t="s">
        <v>977</v>
      </c>
      <c r="K357" s="86">
        <f t="shared" si="29"/>
        <v>2580.1320661181762</v>
      </c>
      <c r="M357" s="86">
        <v>2533.3333333333335</v>
      </c>
      <c r="Q357" s="85">
        <v>2580.1320661181762</v>
      </c>
    </row>
    <row r="358" spans="1:18" ht="16.2" customHeight="1" x14ac:dyDescent="0.3">
      <c r="A358" s="85">
        <v>6</v>
      </c>
      <c r="C358" s="85">
        <f t="shared" si="25"/>
        <v>21</v>
      </c>
      <c r="D358" s="85">
        <f t="shared" si="26"/>
        <v>21</v>
      </c>
      <c r="E358" s="85">
        <f t="shared" si="27"/>
        <v>17</v>
      </c>
      <c r="F358" s="85" t="str">
        <f t="shared" si="28"/>
        <v>pm</v>
      </c>
      <c r="G358" s="85" t="s">
        <v>978</v>
      </c>
      <c r="H358" s="85" t="s">
        <v>549</v>
      </c>
      <c r="I358" s="85" t="s">
        <v>979</v>
      </c>
      <c r="K358" s="86">
        <f t="shared" si="29"/>
        <v>2491.6842530997037</v>
      </c>
      <c r="M358" s="86">
        <v>2466.6666666666665</v>
      </c>
      <c r="N358" s="85">
        <v>2433.3004749481729</v>
      </c>
      <c r="P358" s="85">
        <v>2500.4482807265576</v>
      </c>
      <c r="R358" s="85">
        <v>2491.6842530997037</v>
      </c>
    </row>
    <row r="359" spans="1:18" x14ac:dyDescent="0.3">
      <c r="A359" s="85">
        <v>4</v>
      </c>
      <c r="C359" s="85">
        <f>IF(E359=E394,C394+1,1)</f>
        <v>1</v>
      </c>
      <c r="D359" s="85">
        <f>IF(K359=K394,D394,C359)</f>
        <v>1</v>
      </c>
      <c r="E359" s="85">
        <f t="shared" si="27"/>
        <v>17</v>
      </c>
      <c r="F359" s="85" t="str">
        <f t="shared" si="28"/>
        <v>pm</v>
      </c>
      <c r="G359" s="85" t="s">
        <v>980</v>
      </c>
      <c r="H359" s="85" t="s">
        <v>339</v>
      </c>
      <c r="I359" s="85" t="s">
        <v>981</v>
      </c>
      <c r="K359" s="86">
        <f t="shared" si="29"/>
        <v>2323.6703423752951</v>
      </c>
      <c r="M359" s="86">
        <v>2400</v>
      </c>
      <c r="N359" s="85">
        <v>2323.6703423752951</v>
      </c>
    </row>
    <row r="360" spans="1:18" x14ac:dyDescent="0.3">
      <c r="A360" s="85">
        <v>2</v>
      </c>
      <c r="C360" s="85">
        <f t="shared" si="25"/>
        <v>2</v>
      </c>
      <c r="D360" s="85">
        <f t="shared" si="26"/>
        <v>2</v>
      </c>
      <c r="E360" s="85">
        <f t="shared" si="27"/>
        <v>17</v>
      </c>
      <c r="F360" s="85" t="str">
        <f t="shared" si="28"/>
        <v>pm</v>
      </c>
      <c r="G360" s="85" t="s">
        <v>982</v>
      </c>
      <c r="H360" s="85" t="s">
        <v>519</v>
      </c>
      <c r="I360" s="85" t="s">
        <v>983</v>
      </c>
      <c r="K360" s="86">
        <f t="shared" si="29"/>
        <v>2453.5852950581061</v>
      </c>
      <c r="M360" s="86">
        <v>2400</v>
      </c>
      <c r="N360" s="85">
        <v>2443.9246853858785</v>
      </c>
      <c r="R360" s="85">
        <v>2453.5852950581061</v>
      </c>
    </row>
    <row r="361" spans="1:18" x14ac:dyDescent="0.3">
      <c r="A361" s="85">
        <v>4</v>
      </c>
      <c r="C361" s="85">
        <f t="shared" si="25"/>
        <v>3</v>
      </c>
      <c r="D361" s="85">
        <f t="shared" si="26"/>
        <v>3</v>
      </c>
      <c r="E361" s="85">
        <f t="shared" si="27"/>
        <v>17</v>
      </c>
      <c r="F361" s="85" t="str">
        <f t="shared" si="28"/>
        <v>pm</v>
      </c>
      <c r="G361" s="85" t="s">
        <v>409</v>
      </c>
      <c r="H361" s="85" t="s">
        <v>182</v>
      </c>
      <c r="I361" s="85" t="s">
        <v>410</v>
      </c>
      <c r="K361" s="86">
        <f t="shared" si="29"/>
        <v>2341.6884744426316</v>
      </c>
      <c r="M361" s="86">
        <v>2400</v>
      </c>
      <c r="N361" s="85">
        <v>2346.5420003592371</v>
      </c>
      <c r="R361" s="85">
        <v>2341.6884744426316</v>
      </c>
    </row>
    <row r="362" spans="1:18" x14ac:dyDescent="0.3">
      <c r="A362" s="85">
        <v>6</v>
      </c>
      <c r="C362" s="85">
        <f t="shared" si="25"/>
        <v>4</v>
      </c>
      <c r="D362" s="85">
        <f t="shared" si="26"/>
        <v>4</v>
      </c>
      <c r="E362" s="85">
        <f t="shared" si="27"/>
        <v>17</v>
      </c>
      <c r="F362" s="85" t="str">
        <f t="shared" si="28"/>
        <v>pm</v>
      </c>
      <c r="G362" s="85" t="s">
        <v>984</v>
      </c>
      <c r="H362" s="85" t="s">
        <v>186</v>
      </c>
      <c r="I362" s="85" t="s">
        <v>985</v>
      </c>
      <c r="K362" s="86">
        <f t="shared" si="29"/>
        <v>2271.5086478264498</v>
      </c>
      <c r="M362" s="86">
        <v>2400</v>
      </c>
      <c r="P362" s="85">
        <v>2355.1523846005416</v>
      </c>
      <c r="R362" s="85">
        <v>2271.5086478264498</v>
      </c>
    </row>
    <row r="363" spans="1:18" x14ac:dyDescent="0.3">
      <c r="A363" s="85">
        <v>2</v>
      </c>
      <c r="C363" s="85">
        <f t="shared" si="25"/>
        <v>5</v>
      </c>
      <c r="D363" s="85">
        <f t="shared" si="26"/>
        <v>5</v>
      </c>
      <c r="E363" s="85">
        <f t="shared" si="27"/>
        <v>17</v>
      </c>
      <c r="F363" s="85" t="str">
        <f t="shared" si="28"/>
        <v>pm</v>
      </c>
      <c r="G363" s="85" t="s">
        <v>986</v>
      </c>
      <c r="H363" s="85" t="s">
        <v>235</v>
      </c>
      <c r="I363" s="85" t="s">
        <v>987</v>
      </c>
      <c r="K363" s="86">
        <f t="shared" si="29"/>
        <v>2400</v>
      </c>
      <c r="M363" s="86">
        <v>2400</v>
      </c>
    </row>
    <row r="364" spans="1:18" x14ac:dyDescent="0.3">
      <c r="A364" s="85">
        <v>6</v>
      </c>
      <c r="C364" s="85">
        <f t="shared" si="25"/>
        <v>6</v>
      </c>
      <c r="D364" s="85">
        <f t="shared" si="26"/>
        <v>6</v>
      </c>
      <c r="E364" s="85">
        <f t="shared" si="27"/>
        <v>17</v>
      </c>
      <c r="F364" s="85" t="str">
        <f t="shared" si="28"/>
        <v>pm</v>
      </c>
      <c r="G364" s="85" t="s">
        <v>411</v>
      </c>
      <c r="H364" s="85" t="s">
        <v>167</v>
      </c>
      <c r="I364" s="85" t="s">
        <v>412</v>
      </c>
      <c r="K364" s="86">
        <f t="shared" si="29"/>
        <v>2378.9033097063116</v>
      </c>
      <c r="M364" s="86">
        <v>2400</v>
      </c>
      <c r="P364" s="85">
        <v>2442.0548160773888</v>
      </c>
      <c r="R364" s="85">
        <v>2378.9033097063116</v>
      </c>
    </row>
    <row r="365" spans="1:18" x14ac:dyDescent="0.3">
      <c r="A365" s="85">
        <v>1</v>
      </c>
      <c r="C365" s="85">
        <f t="shared" si="25"/>
        <v>7</v>
      </c>
      <c r="D365" s="85">
        <f t="shared" si="26"/>
        <v>7</v>
      </c>
      <c r="E365" s="85">
        <f t="shared" si="27"/>
        <v>17</v>
      </c>
      <c r="F365" s="85" t="str">
        <f t="shared" si="28"/>
        <v>crx</v>
      </c>
      <c r="G365" s="85" t="s">
        <v>988</v>
      </c>
      <c r="H365" s="85" t="s">
        <v>717</v>
      </c>
      <c r="I365" s="85" t="s">
        <v>989</v>
      </c>
      <c r="K365" s="86">
        <f t="shared" si="29"/>
        <v>2477.4754086221396</v>
      </c>
      <c r="M365" s="86">
        <v>2400</v>
      </c>
      <c r="N365" s="85">
        <v>2477.4754086221396</v>
      </c>
    </row>
    <row r="366" spans="1:18" x14ac:dyDescent="0.3">
      <c r="A366" s="85">
        <v>3</v>
      </c>
      <c r="C366" s="85">
        <f t="shared" si="25"/>
        <v>8</v>
      </c>
      <c r="D366" s="85">
        <f t="shared" si="26"/>
        <v>8</v>
      </c>
      <c r="E366" s="85">
        <f t="shared" si="27"/>
        <v>17</v>
      </c>
      <c r="F366" s="85" t="str">
        <f t="shared" si="28"/>
        <v>cr</v>
      </c>
      <c r="G366" s="85" t="s">
        <v>990</v>
      </c>
      <c r="H366" s="85" t="s">
        <v>495</v>
      </c>
      <c r="I366" s="85" t="s">
        <v>991</v>
      </c>
      <c r="K366" s="86">
        <f t="shared" si="29"/>
        <v>2483.8405058726657</v>
      </c>
      <c r="M366" s="86">
        <v>2400</v>
      </c>
      <c r="R366" s="85">
        <v>2483.8405058726657</v>
      </c>
    </row>
    <row r="367" spans="1:18" x14ac:dyDescent="0.3">
      <c r="A367" s="85">
        <v>1</v>
      </c>
      <c r="C367" s="85">
        <f t="shared" si="25"/>
        <v>9</v>
      </c>
      <c r="D367" s="85">
        <f t="shared" si="26"/>
        <v>9</v>
      </c>
      <c r="E367" s="85">
        <f t="shared" si="27"/>
        <v>17</v>
      </c>
      <c r="F367" s="85" t="str">
        <f t="shared" si="28"/>
        <v>crx</v>
      </c>
      <c r="G367" s="85" t="s">
        <v>992</v>
      </c>
      <c r="H367" s="85" t="s">
        <v>993</v>
      </c>
      <c r="I367" s="85" t="s">
        <v>994</v>
      </c>
      <c r="K367" s="86">
        <f t="shared" si="29"/>
        <v>2400</v>
      </c>
      <c r="M367" s="86">
        <v>2400</v>
      </c>
    </row>
    <row r="368" spans="1:18" x14ac:dyDescent="0.3">
      <c r="A368" s="85">
        <v>1</v>
      </c>
      <c r="C368" s="85">
        <f t="shared" si="25"/>
        <v>10</v>
      </c>
      <c r="D368" s="85">
        <f t="shared" si="26"/>
        <v>9</v>
      </c>
      <c r="E368" s="85">
        <f t="shared" si="27"/>
        <v>17</v>
      </c>
      <c r="F368" s="85" t="str">
        <f t="shared" si="28"/>
        <v>crx</v>
      </c>
      <c r="G368" s="85" t="s">
        <v>445</v>
      </c>
      <c r="H368" s="85" t="s">
        <v>490</v>
      </c>
      <c r="I368" s="85" t="s">
        <v>995</v>
      </c>
      <c r="K368" s="86">
        <f t="shared" si="29"/>
        <v>2400</v>
      </c>
      <c r="M368" s="86">
        <v>2400</v>
      </c>
    </row>
    <row r="369" spans="1:18" x14ac:dyDescent="0.3">
      <c r="A369" s="85">
        <v>2</v>
      </c>
      <c r="C369" s="85">
        <f t="shared" si="25"/>
        <v>11</v>
      </c>
      <c r="D369" s="85">
        <f t="shared" si="26"/>
        <v>11</v>
      </c>
      <c r="E369" s="85">
        <f t="shared" si="27"/>
        <v>17</v>
      </c>
      <c r="F369" s="85" t="str">
        <f t="shared" si="28"/>
        <v>so</v>
      </c>
      <c r="G369" s="85" t="s">
        <v>996</v>
      </c>
      <c r="H369" s="85" t="s">
        <v>746</v>
      </c>
      <c r="I369" s="85" t="s">
        <v>997</v>
      </c>
      <c r="K369" s="86">
        <f t="shared" si="29"/>
        <v>2357.8385670612843</v>
      </c>
      <c r="M369" s="86">
        <v>2400</v>
      </c>
      <c r="R369" s="85">
        <v>2357.8385670612843</v>
      </c>
    </row>
    <row r="370" spans="1:18" x14ac:dyDescent="0.3">
      <c r="A370" s="85">
        <v>3</v>
      </c>
      <c r="C370" s="85">
        <f t="shared" si="25"/>
        <v>1</v>
      </c>
      <c r="D370" s="85">
        <f t="shared" si="26"/>
        <v>1</v>
      </c>
      <c r="E370" s="85">
        <f t="shared" si="27"/>
        <v>18</v>
      </c>
      <c r="F370" s="85" t="str">
        <f t="shared" si="28"/>
        <v>pm</v>
      </c>
      <c r="G370" s="85" t="s">
        <v>998</v>
      </c>
      <c r="H370" s="85" t="s">
        <v>308</v>
      </c>
      <c r="I370" s="85" t="s">
        <v>999</v>
      </c>
      <c r="K370" s="86">
        <f t="shared" si="29"/>
        <v>2978.3300211488763</v>
      </c>
      <c r="M370" s="86">
        <v>3000</v>
      </c>
      <c r="Q370" s="85">
        <v>2978.3300211488763</v>
      </c>
    </row>
    <row r="371" spans="1:18" x14ac:dyDescent="0.3">
      <c r="A371" s="85">
        <v>1</v>
      </c>
      <c r="C371" s="85">
        <f t="shared" si="25"/>
        <v>2</v>
      </c>
      <c r="D371" s="85">
        <f t="shared" si="26"/>
        <v>2</v>
      </c>
      <c r="E371" s="85">
        <f t="shared" si="27"/>
        <v>18</v>
      </c>
      <c r="F371" s="85" t="str">
        <f t="shared" si="28"/>
        <v>pmx</v>
      </c>
      <c r="G371" s="85" t="s">
        <v>413</v>
      </c>
      <c r="H371" s="85" t="s">
        <v>147</v>
      </c>
      <c r="I371" s="85" t="s">
        <v>1000</v>
      </c>
      <c r="K371" s="86">
        <f t="shared" si="29"/>
        <v>3011.156851018934</v>
      </c>
      <c r="M371" s="86">
        <v>3000</v>
      </c>
      <c r="P371" s="85">
        <v>3011.156851018934</v>
      </c>
    </row>
    <row r="372" spans="1:18" x14ac:dyDescent="0.3">
      <c r="A372" s="85">
        <v>3</v>
      </c>
      <c r="C372" s="85">
        <f t="shared" si="25"/>
        <v>3</v>
      </c>
      <c r="D372" s="85">
        <f t="shared" si="26"/>
        <v>3</v>
      </c>
      <c r="E372" s="85">
        <f t="shared" si="27"/>
        <v>18</v>
      </c>
      <c r="F372" s="85" t="str">
        <f t="shared" si="28"/>
        <v>pm</v>
      </c>
      <c r="G372" s="85" t="s">
        <v>415</v>
      </c>
      <c r="H372" s="85" t="s">
        <v>144</v>
      </c>
      <c r="I372" s="85" t="s">
        <v>1001</v>
      </c>
      <c r="K372" s="86">
        <f t="shared" si="29"/>
        <v>3052.4034884576249</v>
      </c>
      <c r="M372" s="86">
        <v>3000</v>
      </c>
      <c r="P372" s="85">
        <v>3052.4034884576249</v>
      </c>
    </row>
    <row r="373" spans="1:18" x14ac:dyDescent="0.3">
      <c r="A373" s="85">
        <v>7</v>
      </c>
      <c r="C373" s="85">
        <f t="shared" si="25"/>
        <v>4</v>
      </c>
      <c r="D373" s="85">
        <f t="shared" si="26"/>
        <v>4</v>
      </c>
      <c r="E373" s="85">
        <f t="shared" si="27"/>
        <v>18</v>
      </c>
      <c r="F373" s="85" t="str">
        <f t="shared" si="28"/>
        <v>pm</v>
      </c>
      <c r="G373" s="85" t="s">
        <v>417</v>
      </c>
      <c r="H373" s="85" t="s">
        <v>153</v>
      </c>
      <c r="I373" s="85" t="s">
        <v>1002</v>
      </c>
      <c r="K373" s="86">
        <f t="shared" si="29"/>
        <v>3057.8410454728637</v>
      </c>
      <c r="M373" s="86">
        <v>3000</v>
      </c>
      <c r="O373" s="85">
        <v>3041.9807671510221</v>
      </c>
      <c r="P373" s="85">
        <v>3057.8410454728637</v>
      </c>
    </row>
    <row r="374" spans="1:18" x14ac:dyDescent="0.3">
      <c r="A374" s="85">
        <v>7</v>
      </c>
      <c r="C374" s="85">
        <f t="shared" si="25"/>
        <v>5</v>
      </c>
      <c r="D374" s="85">
        <f t="shared" si="26"/>
        <v>5</v>
      </c>
      <c r="E374" s="85">
        <f t="shared" si="27"/>
        <v>18</v>
      </c>
      <c r="F374" s="85" t="str">
        <f t="shared" si="28"/>
        <v>pm</v>
      </c>
      <c r="G374" s="85" t="s">
        <v>1003</v>
      </c>
      <c r="H374" s="85" t="s">
        <v>153</v>
      </c>
      <c r="I374" s="85" t="s">
        <v>1004</v>
      </c>
      <c r="K374" s="86">
        <f t="shared" si="29"/>
        <v>2826.6418767257228</v>
      </c>
      <c r="M374" s="86">
        <v>3000</v>
      </c>
      <c r="O374" s="85">
        <v>2918.7916428536187</v>
      </c>
      <c r="P374" s="85">
        <v>2862.3746207039353</v>
      </c>
      <c r="Q374" s="85">
        <v>2826.6418767257228</v>
      </c>
    </row>
    <row r="375" spans="1:18" x14ac:dyDescent="0.3">
      <c r="A375" s="85">
        <v>2</v>
      </c>
      <c r="C375" s="85">
        <f t="shared" si="25"/>
        <v>6</v>
      </c>
      <c r="D375" s="85">
        <f t="shared" si="26"/>
        <v>6</v>
      </c>
      <c r="E375" s="85">
        <f t="shared" si="27"/>
        <v>18</v>
      </c>
      <c r="F375" s="85" t="str">
        <f t="shared" si="28"/>
        <v>pm</v>
      </c>
      <c r="G375" s="85" t="s">
        <v>418</v>
      </c>
      <c r="H375" s="85" t="s">
        <v>258</v>
      </c>
      <c r="I375" s="85" t="s">
        <v>1005</v>
      </c>
      <c r="K375" s="86">
        <f t="shared" si="29"/>
        <v>2940.4015103432962</v>
      </c>
      <c r="M375" s="86">
        <v>3000</v>
      </c>
      <c r="P375" s="85">
        <v>2940.4015103432962</v>
      </c>
    </row>
    <row r="376" spans="1:18" x14ac:dyDescent="0.3">
      <c r="A376" s="85">
        <v>5</v>
      </c>
      <c r="C376" s="85">
        <f t="shared" si="25"/>
        <v>7</v>
      </c>
      <c r="D376" s="85">
        <f t="shared" si="26"/>
        <v>7</v>
      </c>
      <c r="E376" s="85">
        <f t="shared" si="27"/>
        <v>18</v>
      </c>
      <c r="F376" s="85" t="str">
        <f t="shared" si="28"/>
        <v>pm</v>
      </c>
      <c r="G376" s="85" t="s">
        <v>1006</v>
      </c>
      <c r="H376" s="85" t="s">
        <v>236</v>
      </c>
      <c r="I376" s="85" t="s">
        <v>1007</v>
      </c>
      <c r="K376" s="86">
        <f t="shared" si="29"/>
        <v>2995.9428308489555</v>
      </c>
      <c r="M376" s="86">
        <v>3000</v>
      </c>
      <c r="P376" s="85">
        <v>2995.9428308489555</v>
      </c>
    </row>
    <row r="377" spans="1:18" x14ac:dyDescent="0.3">
      <c r="A377" s="85">
        <v>2</v>
      </c>
      <c r="C377" s="85">
        <f t="shared" si="25"/>
        <v>8</v>
      </c>
      <c r="D377" s="85">
        <f t="shared" si="26"/>
        <v>8</v>
      </c>
      <c r="E377" s="85">
        <f t="shared" si="27"/>
        <v>18</v>
      </c>
      <c r="F377" s="85" t="str">
        <f t="shared" si="28"/>
        <v>pm</v>
      </c>
      <c r="G377" s="85" t="s">
        <v>1008</v>
      </c>
      <c r="H377" s="85" t="s">
        <v>497</v>
      </c>
      <c r="I377" s="85" t="s">
        <v>1009</v>
      </c>
      <c r="K377" s="86">
        <f t="shared" si="29"/>
        <v>3158.3181890651545</v>
      </c>
      <c r="M377" s="86">
        <v>3000</v>
      </c>
      <c r="P377" s="85">
        <v>3115.0197027601071</v>
      </c>
      <c r="Q377" s="85">
        <v>3158.3181890651545</v>
      </c>
    </row>
    <row r="378" spans="1:18" x14ac:dyDescent="0.3">
      <c r="A378" s="85">
        <v>2</v>
      </c>
      <c r="C378" s="85">
        <f t="shared" si="25"/>
        <v>9</v>
      </c>
      <c r="D378" s="85">
        <f t="shared" si="26"/>
        <v>9</v>
      </c>
      <c r="E378" s="85">
        <f t="shared" si="27"/>
        <v>18</v>
      </c>
      <c r="F378" s="85" t="str">
        <f t="shared" si="28"/>
        <v>pm</v>
      </c>
      <c r="G378" s="85" t="s">
        <v>1010</v>
      </c>
      <c r="H378" s="85" t="s">
        <v>497</v>
      </c>
      <c r="I378" s="85" t="s">
        <v>1011</v>
      </c>
      <c r="K378" s="86">
        <f t="shared" si="29"/>
        <v>2897.844275669926</v>
      </c>
      <c r="M378" s="86">
        <v>3000</v>
      </c>
      <c r="P378" s="85">
        <v>2895.3037348332809</v>
      </c>
      <c r="Q378" s="85">
        <v>2897.844275669926</v>
      </c>
    </row>
    <row r="379" spans="1:18" x14ac:dyDescent="0.3">
      <c r="A379" s="85">
        <v>3</v>
      </c>
      <c r="C379" s="85">
        <f t="shared" si="25"/>
        <v>10</v>
      </c>
      <c r="D379" s="85">
        <f t="shared" si="26"/>
        <v>10</v>
      </c>
      <c r="E379" s="85">
        <f t="shared" si="27"/>
        <v>18</v>
      </c>
      <c r="F379" s="85" t="str">
        <f t="shared" si="28"/>
        <v>pm</v>
      </c>
      <c r="G379" s="85" t="s">
        <v>1012</v>
      </c>
      <c r="H379" s="85" t="s">
        <v>534</v>
      </c>
      <c r="I379" s="85" t="s">
        <v>1013</v>
      </c>
      <c r="K379" s="86">
        <f t="shared" si="29"/>
        <v>3040.8270732538958</v>
      </c>
      <c r="M379" s="86">
        <v>3000</v>
      </c>
      <c r="O379" s="85">
        <v>3053.6663858700913</v>
      </c>
      <c r="Q379" s="85">
        <v>3040.8270732538958</v>
      </c>
    </row>
    <row r="380" spans="1:18" x14ac:dyDescent="0.3">
      <c r="A380" s="85">
        <v>2</v>
      </c>
      <c r="C380" s="85">
        <f t="shared" si="25"/>
        <v>11</v>
      </c>
      <c r="D380" s="85">
        <f t="shared" si="26"/>
        <v>11</v>
      </c>
      <c r="E380" s="85">
        <f t="shared" si="27"/>
        <v>18</v>
      </c>
      <c r="F380" s="85" t="str">
        <f t="shared" si="28"/>
        <v>pm</v>
      </c>
      <c r="G380" s="85" t="s">
        <v>422</v>
      </c>
      <c r="H380" s="85" t="s">
        <v>167</v>
      </c>
      <c r="I380" s="85" t="s">
        <v>1014</v>
      </c>
      <c r="K380" s="86">
        <f t="shared" si="29"/>
        <v>3098.6221168851657</v>
      </c>
      <c r="M380" s="86">
        <v>3000</v>
      </c>
      <c r="Q380" s="85">
        <v>3098.6221168851657</v>
      </c>
    </row>
    <row r="381" spans="1:18" x14ac:dyDescent="0.3">
      <c r="A381" s="85">
        <v>5</v>
      </c>
      <c r="C381" s="85">
        <f t="shared" si="25"/>
        <v>12</v>
      </c>
      <c r="D381" s="85">
        <f t="shared" si="26"/>
        <v>12</v>
      </c>
      <c r="E381" s="85">
        <f t="shared" si="27"/>
        <v>18</v>
      </c>
      <c r="F381" s="85" t="str">
        <f t="shared" si="28"/>
        <v>pm</v>
      </c>
      <c r="G381" s="85" t="s">
        <v>426</v>
      </c>
      <c r="H381" s="85" t="s">
        <v>242</v>
      </c>
      <c r="I381" s="85" t="s">
        <v>1015</v>
      </c>
      <c r="K381" s="86">
        <f t="shared" si="29"/>
        <v>3012.2022182610085</v>
      </c>
      <c r="M381" s="86">
        <v>3000</v>
      </c>
      <c r="P381" s="85">
        <v>3012.2022182610085</v>
      </c>
    </row>
    <row r="382" spans="1:18" x14ac:dyDescent="0.3">
      <c r="A382" s="85">
        <v>2</v>
      </c>
      <c r="C382" s="85">
        <f t="shared" si="25"/>
        <v>13</v>
      </c>
      <c r="D382" s="85">
        <f t="shared" si="26"/>
        <v>13</v>
      </c>
      <c r="E382" s="85">
        <f t="shared" si="27"/>
        <v>18</v>
      </c>
      <c r="F382" s="85" t="str">
        <f t="shared" si="28"/>
        <v>pm</v>
      </c>
      <c r="G382" s="85" t="s">
        <v>421</v>
      </c>
      <c r="H382" s="85" t="s">
        <v>331</v>
      </c>
      <c r="I382" s="85" t="s">
        <v>1016</v>
      </c>
      <c r="K382" s="86">
        <f t="shared" si="29"/>
        <v>3049.1452363505205</v>
      </c>
      <c r="M382" s="86">
        <v>3000</v>
      </c>
      <c r="P382" s="85">
        <v>3049.1452363505205</v>
      </c>
    </row>
    <row r="383" spans="1:18" x14ac:dyDescent="0.3">
      <c r="A383" s="85">
        <v>1</v>
      </c>
      <c r="C383" s="85">
        <f t="shared" si="25"/>
        <v>14</v>
      </c>
      <c r="D383" s="85">
        <f t="shared" si="26"/>
        <v>14</v>
      </c>
      <c r="E383" s="85">
        <f t="shared" si="27"/>
        <v>18</v>
      </c>
      <c r="F383" s="85" t="str">
        <f t="shared" si="28"/>
        <v>pmx</v>
      </c>
      <c r="G383" s="85" t="s">
        <v>1017</v>
      </c>
      <c r="H383" s="85" t="s">
        <v>159</v>
      </c>
      <c r="I383" s="85" t="s">
        <v>1018</v>
      </c>
      <c r="K383" s="86">
        <f t="shared" si="29"/>
        <v>2878.9821586338307</v>
      </c>
      <c r="M383" s="86">
        <v>3000</v>
      </c>
      <c r="Q383" s="85">
        <v>2878.9821586338307</v>
      </c>
    </row>
    <row r="384" spans="1:18" x14ac:dyDescent="0.3">
      <c r="A384" s="85">
        <v>1</v>
      </c>
      <c r="C384" s="85">
        <f t="shared" si="25"/>
        <v>15</v>
      </c>
      <c r="D384" s="85">
        <f t="shared" si="26"/>
        <v>15</v>
      </c>
      <c r="E384" s="85">
        <f t="shared" si="27"/>
        <v>18</v>
      </c>
      <c r="F384" s="85" t="str">
        <f t="shared" si="28"/>
        <v>crx</v>
      </c>
      <c r="G384" s="85" t="s">
        <v>414</v>
      </c>
      <c r="H384" s="85" t="s">
        <v>869</v>
      </c>
      <c r="I384" s="85" t="s">
        <v>1019</v>
      </c>
      <c r="K384" s="86">
        <f t="shared" si="29"/>
        <v>2993.1280277422129</v>
      </c>
      <c r="M384" s="86">
        <v>3000</v>
      </c>
      <c r="P384" s="85">
        <v>2993.1280277422129</v>
      </c>
    </row>
    <row r="385" spans="1:18" x14ac:dyDescent="0.3">
      <c r="A385" s="85">
        <v>1</v>
      </c>
      <c r="C385" s="85">
        <f t="shared" si="25"/>
        <v>16</v>
      </c>
      <c r="D385" s="85">
        <f t="shared" si="26"/>
        <v>16</v>
      </c>
      <c r="E385" s="85">
        <f t="shared" si="27"/>
        <v>18</v>
      </c>
      <c r="F385" s="85" t="str">
        <f t="shared" si="28"/>
        <v>crx</v>
      </c>
      <c r="G385" s="85" t="s">
        <v>1020</v>
      </c>
      <c r="H385" s="85" t="s">
        <v>869</v>
      </c>
      <c r="I385" s="85" t="s">
        <v>1021</v>
      </c>
      <c r="K385" s="86">
        <f t="shared" si="29"/>
        <v>2895.2803258200752</v>
      </c>
      <c r="M385" s="86">
        <v>3000</v>
      </c>
      <c r="P385" s="85">
        <v>2895.2803258200752</v>
      </c>
    </row>
    <row r="386" spans="1:18" x14ac:dyDescent="0.3">
      <c r="A386" s="85">
        <v>1</v>
      </c>
      <c r="C386" s="85">
        <f t="shared" ref="C386:C401" si="30">IF(E386=E385,C385+1,1)</f>
        <v>17</v>
      </c>
      <c r="D386" s="85">
        <f t="shared" ref="D386:D401" si="31">IF(K386=K385,D385,C386)</f>
        <v>17</v>
      </c>
      <c r="E386" s="85">
        <f t="shared" ref="E386:E401" si="32">10+VALUE(RIGHT(LEFT(G386,3),1))</f>
        <v>18</v>
      </c>
      <c r="F386" s="85" t="str">
        <f t="shared" ref="F386:F401" si="33">RIGHT(G386,2) &amp; IF(A386&lt;2,"x","")</f>
        <v>crx</v>
      </c>
      <c r="G386" s="85" t="s">
        <v>1022</v>
      </c>
      <c r="H386" s="85" t="s">
        <v>1023</v>
      </c>
      <c r="I386" s="85" t="s">
        <v>1024</v>
      </c>
      <c r="K386" s="86">
        <f t="shared" ref="K386:K401" si="34">LOOKUP(1E+100,M386:AB386)</f>
        <v>3020.7208746056385</v>
      </c>
      <c r="M386" s="86">
        <v>3000</v>
      </c>
      <c r="O386" s="85">
        <v>3020.7208746056385</v>
      </c>
    </row>
    <row r="387" spans="1:18" x14ac:dyDescent="0.3">
      <c r="A387" s="85">
        <v>1</v>
      </c>
      <c r="C387" s="85">
        <f t="shared" si="30"/>
        <v>18</v>
      </c>
      <c r="D387" s="85">
        <f t="shared" si="31"/>
        <v>18</v>
      </c>
      <c r="E387" s="85">
        <f t="shared" si="32"/>
        <v>18</v>
      </c>
      <c r="F387" s="85" t="str">
        <f t="shared" si="33"/>
        <v>crx</v>
      </c>
      <c r="G387" s="85" t="s">
        <v>441</v>
      </c>
      <c r="H387" s="85" t="s">
        <v>1023</v>
      </c>
      <c r="I387" s="85" t="s">
        <v>1025</v>
      </c>
      <c r="K387" s="86">
        <f t="shared" si="34"/>
        <v>3030.7048604400079</v>
      </c>
      <c r="M387" s="86">
        <v>3000</v>
      </c>
      <c r="O387" s="85">
        <v>3030.7048604400079</v>
      </c>
    </row>
    <row r="388" spans="1:18" x14ac:dyDescent="0.3">
      <c r="A388" s="85">
        <v>1</v>
      </c>
      <c r="C388" s="85">
        <f t="shared" si="30"/>
        <v>19</v>
      </c>
      <c r="D388" s="85">
        <f t="shared" si="31"/>
        <v>19</v>
      </c>
      <c r="E388" s="85">
        <f t="shared" si="32"/>
        <v>18</v>
      </c>
      <c r="F388" s="85" t="str">
        <f t="shared" si="33"/>
        <v>crx</v>
      </c>
      <c r="G388" s="85" t="s">
        <v>1026</v>
      </c>
      <c r="H388" s="85" t="s">
        <v>576</v>
      </c>
      <c r="I388" s="85" t="s">
        <v>1027</v>
      </c>
      <c r="K388" s="86">
        <f t="shared" si="34"/>
        <v>3000</v>
      </c>
      <c r="M388" s="86">
        <v>3000</v>
      </c>
    </row>
    <row r="389" spans="1:18" x14ac:dyDescent="0.3">
      <c r="A389" s="85">
        <v>1</v>
      </c>
      <c r="C389" s="85">
        <f t="shared" si="30"/>
        <v>20</v>
      </c>
      <c r="D389" s="85">
        <f t="shared" si="31"/>
        <v>19</v>
      </c>
      <c r="E389" s="85">
        <f t="shared" si="32"/>
        <v>18</v>
      </c>
      <c r="F389" s="85" t="str">
        <f t="shared" si="33"/>
        <v>crx</v>
      </c>
      <c r="G389" s="85" t="s">
        <v>1028</v>
      </c>
      <c r="H389" s="85" t="s">
        <v>722</v>
      </c>
      <c r="I389" s="85" t="s">
        <v>1029</v>
      </c>
      <c r="K389" s="86">
        <f t="shared" si="34"/>
        <v>3000</v>
      </c>
      <c r="M389" s="86">
        <v>3000</v>
      </c>
    </row>
    <row r="390" spans="1:18" x14ac:dyDescent="0.3">
      <c r="A390" s="85">
        <v>1</v>
      </c>
      <c r="C390" s="85">
        <f t="shared" si="30"/>
        <v>21</v>
      </c>
      <c r="D390" s="85">
        <f t="shared" si="31"/>
        <v>21</v>
      </c>
      <c r="E390" s="85">
        <f t="shared" si="32"/>
        <v>18</v>
      </c>
      <c r="F390" s="85" t="str">
        <f t="shared" si="33"/>
        <v>crx</v>
      </c>
      <c r="G390" s="85" t="s">
        <v>1030</v>
      </c>
      <c r="H390" s="85" t="s">
        <v>442</v>
      </c>
      <c r="I390" s="85" t="s">
        <v>1031</v>
      </c>
      <c r="K390" s="86">
        <f t="shared" si="34"/>
        <v>2984.49504329918</v>
      </c>
      <c r="M390" s="86">
        <v>3000</v>
      </c>
      <c r="O390" s="85">
        <v>2984.49504329918</v>
      </c>
    </row>
    <row r="391" spans="1:18" x14ac:dyDescent="0.3">
      <c r="A391" s="85">
        <v>1</v>
      </c>
      <c r="C391" s="85">
        <f t="shared" si="30"/>
        <v>22</v>
      </c>
      <c r="D391" s="85">
        <f t="shared" si="31"/>
        <v>22</v>
      </c>
      <c r="E391" s="85">
        <f t="shared" si="32"/>
        <v>18</v>
      </c>
      <c r="F391" s="85" t="str">
        <f t="shared" si="33"/>
        <v>sox</v>
      </c>
      <c r="G391" s="85" t="s">
        <v>1032</v>
      </c>
      <c r="H391" s="85" t="s">
        <v>785</v>
      </c>
      <c r="I391" s="85" t="s">
        <v>1033</v>
      </c>
      <c r="K391" s="86">
        <f t="shared" si="34"/>
        <v>3000</v>
      </c>
      <c r="M391" s="86">
        <v>3000</v>
      </c>
    </row>
    <row r="392" spans="1:18" x14ac:dyDescent="0.3">
      <c r="A392" s="85">
        <v>2</v>
      </c>
      <c r="C392" s="85">
        <f t="shared" si="30"/>
        <v>23</v>
      </c>
      <c r="D392" s="85">
        <f t="shared" si="31"/>
        <v>23</v>
      </c>
      <c r="E392" s="85">
        <f t="shared" si="32"/>
        <v>18</v>
      </c>
      <c r="F392" s="85" t="str">
        <f t="shared" si="33"/>
        <v>pm</v>
      </c>
      <c r="G392" s="85" t="s">
        <v>1034</v>
      </c>
      <c r="H392" s="85" t="s">
        <v>277</v>
      </c>
      <c r="I392" s="85" t="s">
        <v>1035</v>
      </c>
      <c r="K392" s="86">
        <f t="shared" si="34"/>
        <v>2784.3704638645931</v>
      </c>
      <c r="M392" s="86">
        <v>2800</v>
      </c>
      <c r="N392" s="85">
        <v>2784.3704638645931</v>
      </c>
    </row>
    <row r="393" spans="1:18" x14ac:dyDescent="0.3">
      <c r="A393" s="85">
        <v>6</v>
      </c>
      <c r="C393" s="85">
        <f t="shared" si="30"/>
        <v>24</v>
      </c>
      <c r="D393" s="85">
        <f t="shared" si="31"/>
        <v>24</v>
      </c>
      <c r="E393" s="85">
        <f t="shared" si="32"/>
        <v>18</v>
      </c>
      <c r="F393" s="85" t="str">
        <f t="shared" si="33"/>
        <v>pm</v>
      </c>
      <c r="G393" s="85" t="s">
        <v>423</v>
      </c>
      <c r="H393" s="85" t="s">
        <v>392</v>
      </c>
      <c r="I393" s="85" t="s">
        <v>1036</v>
      </c>
      <c r="K393" s="86">
        <f t="shared" si="34"/>
        <v>2565.3417525513787</v>
      </c>
      <c r="M393" s="86">
        <v>2600</v>
      </c>
      <c r="N393" s="85">
        <v>2598.4897616641106</v>
      </c>
      <c r="P393" s="85">
        <v>2560.6143683105338</v>
      </c>
      <c r="R393" s="85">
        <v>2565.3417525513787</v>
      </c>
    </row>
    <row r="394" spans="1:18" x14ac:dyDescent="0.3">
      <c r="A394" s="85">
        <v>6</v>
      </c>
      <c r="C394" s="85">
        <f>IF(E394=E358,C358+1,1)</f>
        <v>1</v>
      </c>
      <c r="D394" s="85">
        <f>IF(K394=K358,D358,C394)</f>
        <v>1</v>
      </c>
      <c r="E394" s="85">
        <f>10+VALUE(RIGHT(LEFT(G394,3),1))</f>
        <v>18</v>
      </c>
      <c r="F394" s="85" t="str">
        <f>RIGHT(G394,2) &amp; IF(A394&lt;2,"x","")</f>
        <v>pm</v>
      </c>
      <c r="G394" s="299" t="s">
        <v>1037</v>
      </c>
      <c r="H394" s="85" t="s">
        <v>392</v>
      </c>
      <c r="I394" s="85" t="s">
        <v>1038</v>
      </c>
      <c r="K394" s="86">
        <f>LOOKUP(1E+100,M394:AB394)</f>
        <v>2475.8287326488262</v>
      </c>
      <c r="M394" s="86">
        <v>2600</v>
      </c>
      <c r="N394" s="85">
        <v>2513.8626072183683</v>
      </c>
      <c r="P394" s="85">
        <v>2514.0032889712584</v>
      </c>
      <c r="R394" s="85">
        <v>2475.8287326488262</v>
      </c>
    </row>
    <row r="395" spans="1:18" x14ac:dyDescent="0.3">
      <c r="A395" s="85">
        <v>2</v>
      </c>
      <c r="C395" s="85">
        <f>IF(E395=E393,C393+1,1)</f>
        <v>25</v>
      </c>
      <c r="D395" s="85">
        <f>IF(K395=K393,D393,C395)</f>
        <v>25</v>
      </c>
      <c r="E395" s="85">
        <f t="shared" si="32"/>
        <v>18</v>
      </c>
      <c r="F395" s="85" t="str">
        <f t="shared" si="33"/>
        <v>pm</v>
      </c>
      <c r="G395" s="85" t="s">
        <v>1039</v>
      </c>
      <c r="H395" s="85" t="s">
        <v>831</v>
      </c>
      <c r="I395" s="85" t="s">
        <v>1040</v>
      </c>
      <c r="K395" s="86">
        <f t="shared" si="34"/>
        <v>2532.7151788299739</v>
      </c>
      <c r="M395" s="86">
        <v>2600</v>
      </c>
      <c r="R395" s="85">
        <v>2532.7151788299739</v>
      </c>
    </row>
    <row r="396" spans="1:18" x14ac:dyDescent="0.3">
      <c r="A396" s="85">
        <v>7</v>
      </c>
      <c r="C396" s="85">
        <f t="shared" si="30"/>
        <v>26</v>
      </c>
      <c r="D396" s="85">
        <f t="shared" si="31"/>
        <v>26</v>
      </c>
      <c r="E396" s="85">
        <f t="shared" si="32"/>
        <v>18</v>
      </c>
      <c r="F396" s="85" t="str">
        <f t="shared" si="33"/>
        <v>pm</v>
      </c>
      <c r="G396" s="85" t="s">
        <v>424</v>
      </c>
      <c r="H396" s="85" t="s">
        <v>345</v>
      </c>
      <c r="I396" s="85" t="s">
        <v>425</v>
      </c>
      <c r="K396" s="86">
        <f t="shared" si="34"/>
        <v>2512.2703904137693</v>
      </c>
      <c r="M396" s="86">
        <v>2600</v>
      </c>
      <c r="N396" s="85">
        <v>2509.9742813075081</v>
      </c>
      <c r="P396" s="85">
        <v>2503.6831965637493</v>
      </c>
      <c r="R396" s="85">
        <v>2512.2703904137693</v>
      </c>
    </row>
    <row r="397" spans="1:18" x14ac:dyDescent="0.3">
      <c r="A397" s="85">
        <v>2</v>
      </c>
      <c r="C397" s="85">
        <f t="shared" si="30"/>
        <v>27</v>
      </c>
      <c r="D397" s="85">
        <f t="shared" si="31"/>
        <v>27</v>
      </c>
      <c r="E397" s="85">
        <f t="shared" si="32"/>
        <v>18</v>
      </c>
      <c r="F397" s="85" t="str">
        <f t="shared" si="33"/>
        <v>pm</v>
      </c>
      <c r="G397" s="85" t="s">
        <v>1041</v>
      </c>
      <c r="H397" s="85" t="s">
        <v>242</v>
      </c>
      <c r="I397" s="85" t="s">
        <v>1042</v>
      </c>
      <c r="K397" s="86">
        <f t="shared" si="34"/>
        <v>2435.3480732002313</v>
      </c>
      <c r="M397" s="86">
        <v>2600</v>
      </c>
      <c r="P397" s="85">
        <v>2476.9796027233456</v>
      </c>
      <c r="R397" s="85">
        <v>2435.3480732002313</v>
      </c>
    </row>
    <row r="398" spans="1:18" x14ac:dyDescent="0.3">
      <c r="A398" s="85">
        <v>1</v>
      </c>
      <c r="C398" s="85">
        <f t="shared" si="30"/>
        <v>28</v>
      </c>
      <c r="D398" s="85">
        <f t="shared" si="31"/>
        <v>28</v>
      </c>
      <c r="E398" s="85">
        <f t="shared" si="32"/>
        <v>18</v>
      </c>
      <c r="F398" s="85" t="str">
        <f t="shared" si="33"/>
        <v>crx</v>
      </c>
      <c r="G398" s="85" t="s">
        <v>1043</v>
      </c>
      <c r="H398" s="85" t="s">
        <v>942</v>
      </c>
      <c r="I398" s="85" t="s">
        <v>1044</v>
      </c>
      <c r="K398" s="86">
        <f t="shared" si="34"/>
        <v>2600</v>
      </c>
      <c r="M398" s="86">
        <v>2600</v>
      </c>
    </row>
    <row r="399" spans="1:18" x14ac:dyDescent="0.3">
      <c r="A399" s="85">
        <v>3</v>
      </c>
      <c r="C399" s="85">
        <f t="shared" si="30"/>
        <v>29</v>
      </c>
      <c r="D399" s="85">
        <f t="shared" si="31"/>
        <v>29</v>
      </c>
      <c r="E399" s="85">
        <f t="shared" si="32"/>
        <v>18</v>
      </c>
      <c r="F399" s="85" t="str">
        <f t="shared" si="33"/>
        <v>cr</v>
      </c>
      <c r="G399" s="85" t="s">
        <v>419</v>
      </c>
      <c r="H399" s="85" t="s">
        <v>734</v>
      </c>
      <c r="I399" s="85" t="s">
        <v>420</v>
      </c>
      <c r="K399" s="86">
        <f t="shared" si="34"/>
        <v>2732.128963572633</v>
      </c>
      <c r="M399" s="86">
        <v>2600</v>
      </c>
      <c r="N399" s="85">
        <v>2662.393350504467</v>
      </c>
      <c r="R399" s="85">
        <v>2732.128963572633</v>
      </c>
    </row>
    <row r="400" spans="1:18" x14ac:dyDescent="0.3">
      <c r="A400" s="85">
        <v>2</v>
      </c>
      <c r="C400" s="85">
        <f t="shared" si="30"/>
        <v>30</v>
      </c>
      <c r="D400" s="85">
        <f t="shared" si="31"/>
        <v>30</v>
      </c>
      <c r="E400" s="85">
        <f t="shared" si="32"/>
        <v>18</v>
      </c>
      <c r="F400" s="85" t="str">
        <f t="shared" si="33"/>
        <v>so</v>
      </c>
      <c r="G400" s="85" t="s">
        <v>1045</v>
      </c>
      <c r="H400" s="85" t="s">
        <v>633</v>
      </c>
      <c r="I400" s="85" t="s">
        <v>1046</v>
      </c>
      <c r="K400" s="86">
        <f t="shared" si="34"/>
        <v>2600</v>
      </c>
      <c r="M400" s="86">
        <v>2600</v>
      </c>
    </row>
    <row r="401" spans="1:18" x14ac:dyDescent="0.3">
      <c r="A401" s="85">
        <v>1</v>
      </c>
      <c r="C401" s="85">
        <f t="shared" si="30"/>
        <v>31</v>
      </c>
      <c r="D401" s="85">
        <f t="shared" si="31"/>
        <v>30</v>
      </c>
      <c r="E401" s="85">
        <f t="shared" si="32"/>
        <v>18</v>
      </c>
      <c r="F401" s="85" t="str">
        <f t="shared" si="33"/>
        <v>sox</v>
      </c>
      <c r="G401" s="85" t="s">
        <v>1047</v>
      </c>
      <c r="H401" s="85" t="s">
        <v>1048</v>
      </c>
      <c r="I401" s="85" t="s">
        <v>1049</v>
      </c>
      <c r="K401" s="86">
        <f t="shared" si="34"/>
        <v>2600</v>
      </c>
      <c r="M401" s="86">
        <v>2600</v>
      </c>
    </row>
    <row r="404" spans="1:18" x14ac:dyDescent="0.3">
      <c r="A404" s="85">
        <v>2</v>
      </c>
      <c r="C404" s="85">
        <f t="shared" ref="C404:C408" si="35">IF(E404=E403,C403+1,1)</f>
        <v>1</v>
      </c>
      <c r="D404" s="85">
        <f t="shared" ref="D404:D408" si="36">IF(K404=K403,D403,C404)</f>
        <v>1</v>
      </c>
      <c r="E404" s="85">
        <f t="shared" ref="E404:E408" si="37">10+VALUE(RIGHT(LEFT(G404,3),1))</f>
        <v>13</v>
      </c>
      <c r="F404" s="85" t="str">
        <f t="shared" ref="F404:F408" si="38">RIGHT(G404,2) &amp; IF(A404&lt;2,"x","")</f>
        <v>pm</v>
      </c>
      <c r="G404" s="299" t="s">
        <v>1050</v>
      </c>
      <c r="H404" s="85" t="s">
        <v>497</v>
      </c>
      <c r="I404" s="299" t="s">
        <v>1051</v>
      </c>
      <c r="K404" s="86">
        <f t="shared" ref="K404:K408" si="39">LOOKUP(1E+100,M404:AB404)</f>
        <v>1910.2697823414592</v>
      </c>
      <c r="M404" s="86">
        <v>2000</v>
      </c>
      <c r="P404" s="85">
        <v>1910.2697823414592</v>
      </c>
    </row>
    <row r="405" spans="1:18" x14ac:dyDescent="0.3">
      <c r="A405" s="85">
        <v>1</v>
      </c>
      <c r="C405" s="85">
        <f t="shared" si="35"/>
        <v>2</v>
      </c>
      <c r="D405" s="85">
        <f t="shared" si="36"/>
        <v>2</v>
      </c>
      <c r="E405" s="85">
        <f t="shared" si="37"/>
        <v>13</v>
      </c>
      <c r="F405" s="85" t="str">
        <f t="shared" si="38"/>
        <v>crx</v>
      </c>
      <c r="G405" s="299" t="s">
        <v>1052</v>
      </c>
      <c r="H405" s="299" t="s">
        <v>1053</v>
      </c>
      <c r="I405" s="85" t="s">
        <v>1054</v>
      </c>
      <c r="K405" s="86">
        <f t="shared" si="39"/>
        <v>1642.4175455670834</v>
      </c>
      <c r="M405" s="86">
        <v>1600</v>
      </c>
      <c r="P405" s="85">
        <v>1642.4175455670834</v>
      </c>
    </row>
    <row r="406" spans="1:18" x14ac:dyDescent="0.3">
      <c r="A406" s="85">
        <v>2</v>
      </c>
      <c r="C406" s="85">
        <f t="shared" si="35"/>
        <v>1</v>
      </c>
      <c r="D406" s="85">
        <f t="shared" si="36"/>
        <v>1</v>
      </c>
      <c r="E406" s="85">
        <f t="shared" si="37"/>
        <v>15</v>
      </c>
      <c r="F406" s="85" t="str">
        <f t="shared" si="38"/>
        <v>pm</v>
      </c>
      <c r="G406" s="301" t="s">
        <v>1055</v>
      </c>
      <c r="H406" s="301" t="s">
        <v>1056</v>
      </c>
      <c r="I406" s="301" t="s">
        <v>1057</v>
      </c>
      <c r="K406" s="86">
        <f t="shared" si="39"/>
        <v>2022.9770397763709</v>
      </c>
      <c r="M406" s="86">
        <v>2000</v>
      </c>
      <c r="P406" s="85">
        <v>2022.9770397763709</v>
      </c>
    </row>
    <row r="407" spans="1:18" x14ac:dyDescent="0.3">
      <c r="A407" s="85">
        <v>1</v>
      </c>
      <c r="C407" s="85">
        <f t="shared" si="35"/>
        <v>1</v>
      </c>
      <c r="D407" s="85">
        <f t="shared" si="36"/>
        <v>1</v>
      </c>
      <c r="E407" s="85">
        <f t="shared" si="37"/>
        <v>18</v>
      </c>
      <c r="F407" s="85" t="str">
        <f t="shared" si="38"/>
        <v>sox</v>
      </c>
      <c r="G407" s="301" t="s">
        <v>1058</v>
      </c>
      <c r="H407" s="299" t="s">
        <v>1059</v>
      </c>
      <c r="I407" s="301" t="s">
        <v>1060</v>
      </c>
      <c r="K407" s="86">
        <f t="shared" si="39"/>
        <v>2664.0407158565417</v>
      </c>
      <c r="M407" s="86">
        <v>2600</v>
      </c>
      <c r="R407" s="85">
        <v>2664.0407158565417</v>
      </c>
    </row>
    <row r="408" spans="1:18" x14ac:dyDescent="0.3">
      <c r="A408" s="85">
        <v>1</v>
      </c>
      <c r="C408" s="85">
        <f t="shared" si="35"/>
        <v>2</v>
      </c>
      <c r="D408" s="85">
        <f t="shared" si="36"/>
        <v>2</v>
      </c>
      <c r="E408" s="85">
        <f t="shared" si="37"/>
        <v>18</v>
      </c>
      <c r="F408" s="85" t="str">
        <f t="shared" si="38"/>
        <v>crx</v>
      </c>
      <c r="G408" s="301" t="s">
        <v>419</v>
      </c>
      <c r="H408" s="301" t="s">
        <v>1061</v>
      </c>
      <c r="I408" s="301" t="s">
        <v>420</v>
      </c>
      <c r="K408" s="86">
        <f t="shared" si="39"/>
        <v>2600</v>
      </c>
      <c r="M408" s="86">
        <v>2600</v>
      </c>
    </row>
    <row r="411" spans="1:18" x14ac:dyDescent="0.3">
      <c r="A411" s="85">
        <v>2</v>
      </c>
      <c r="C411" s="85">
        <f t="shared" ref="C411:C415" si="40">IF(E411=E410,C410+1,1)</f>
        <v>1</v>
      </c>
      <c r="D411" s="85">
        <f t="shared" ref="D411:D415" si="41">IF(K411=K410,D410,C411)</f>
        <v>1</v>
      </c>
      <c r="E411" s="85">
        <f t="shared" ref="E411:E415" si="42">10+VALUE(RIGHT(LEFT(G411,3),1))</f>
        <v>11</v>
      </c>
      <c r="F411" s="85" t="str">
        <f t="shared" ref="F411:F415" si="43">RIGHT(G411,2) &amp; IF(A411&lt;2,"x","")</f>
        <v>pm</v>
      </c>
      <c r="G411" s="301" t="s">
        <v>1062</v>
      </c>
      <c r="H411" s="301" t="s">
        <v>1063</v>
      </c>
      <c r="I411" s="301" t="s">
        <v>40</v>
      </c>
      <c r="K411" s="86">
        <f t="shared" ref="K411:K415" si="44">LOOKUP(1E+100,M411:AB411)</f>
        <v>1225.0627938110126</v>
      </c>
      <c r="M411" s="86">
        <v>1200</v>
      </c>
      <c r="P411" s="85">
        <v>1225.0627938110126</v>
      </c>
    </row>
    <row r="412" spans="1:18" x14ac:dyDescent="0.3">
      <c r="A412" s="85">
        <v>2</v>
      </c>
      <c r="C412" s="85">
        <f t="shared" si="40"/>
        <v>2</v>
      </c>
      <c r="D412" s="85">
        <f t="shared" si="41"/>
        <v>2</v>
      </c>
      <c r="E412" s="85">
        <f t="shared" si="42"/>
        <v>11</v>
      </c>
      <c r="F412" s="85" t="str">
        <f t="shared" si="43"/>
        <v>pm</v>
      </c>
      <c r="G412" s="301" t="s">
        <v>1064</v>
      </c>
      <c r="H412" s="301" t="s">
        <v>1063</v>
      </c>
      <c r="I412" s="301" t="s">
        <v>207</v>
      </c>
      <c r="K412" s="86">
        <f t="shared" si="44"/>
        <v>1264.7519205331801</v>
      </c>
      <c r="M412" s="86">
        <v>1200</v>
      </c>
      <c r="P412" s="85">
        <v>1264.7519205331801</v>
      </c>
    </row>
    <row r="413" spans="1:18" x14ac:dyDescent="0.3">
      <c r="A413" s="85">
        <v>2</v>
      </c>
      <c r="C413" s="85">
        <f t="shared" si="40"/>
        <v>3</v>
      </c>
      <c r="D413" s="85">
        <f t="shared" si="41"/>
        <v>3</v>
      </c>
      <c r="E413" s="85">
        <f t="shared" si="42"/>
        <v>11</v>
      </c>
      <c r="F413" s="85" t="str">
        <f t="shared" si="43"/>
        <v>pm</v>
      </c>
      <c r="G413" s="301" t="s">
        <v>1065</v>
      </c>
      <c r="H413" s="301" t="s">
        <v>1063</v>
      </c>
      <c r="I413" s="301" t="s">
        <v>1066</v>
      </c>
      <c r="K413" s="86">
        <f t="shared" si="44"/>
        <v>1237.1306917502143</v>
      </c>
      <c r="M413" s="86">
        <v>1200</v>
      </c>
      <c r="P413" s="85">
        <v>1237.1306917502143</v>
      </c>
    </row>
    <row r="414" spans="1:18" x14ac:dyDescent="0.3">
      <c r="A414" s="85">
        <v>2</v>
      </c>
      <c r="C414" s="85">
        <f t="shared" si="40"/>
        <v>1</v>
      </c>
      <c r="D414" s="85">
        <f t="shared" si="41"/>
        <v>1</v>
      </c>
      <c r="E414" s="85">
        <f t="shared" si="42"/>
        <v>12</v>
      </c>
      <c r="F414" s="85" t="str">
        <f t="shared" si="43"/>
        <v>pm</v>
      </c>
      <c r="G414" s="301" t="s">
        <v>1067</v>
      </c>
      <c r="H414" s="301" t="s">
        <v>1068</v>
      </c>
      <c r="I414" s="301" t="s">
        <v>1069</v>
      </c>
      <c r="K414" s="86">
        <f t="shared" si="44"/>
        <v>1096.3127655480869</v>
      </c>
      <c r="M414" s="86">
        <v>1200</v>
      </c>
      <c r="P414" s="85">
        <v>1096.3127655480869</v>
      </c>
    </row>
    <row r="415" spans="1:18" x14ac:dyDescent="0.3">
      <c r="A415" s="85">
        <v>2</v>
      </c>
      <c r="C415" s="85">
        <f t="shared" si="40"/>
        <v>2</v>
      </c>
      <c r="D415" s="85">
        <f t="shared" si="41"/>
        <v>2</v>
      </c>
      <c r="E415" s="85">
        <f t="shared" si="42"/>
        <v>12</v>
      </c>
      <c r="F415" s="85" t="str">
        <f t="shared" si="43"/>
        <v>pm</v>
      </c>
      <c r="G415" s="301" t="s">
        <v>197</v>
      </c>
      <c r="H415" s="301" t="s">
        <v>1070</v>
      </c>
      <c r="I415" s="301" t="s">
        <v>1071</v>
      </c>
      <c r="K415" s="86">
        <f t="shared" si="44"/>
        <v>1168.7870094576099</v>
      </c>
      <c r="M415" s="86">
        <v>1200</v>
      </c>
      <c r="P415" s="85">
        <v>1157.2304177245248</v>
      </c>
      <c r="R415" s="85">
        <v>1168.7870094576099</v>
      </c>
    </row>
    <row r="416" spans="1:18" x14ac:dyDescent="0.3">
      <c r="G416" s="301"/>
      <c r="H416" s="301"/>
      <c r="I416" s="301"/>
    </row>
    <row r="417" spans="1:18" x14ac:dyDescent="0.3">
      <c r="A417" s="85">
        <v>2</v>
      </c>
      <c r="C417" s="85">
        <f t="shared" ref="C417:C421" si="45">IF(E417=E416,C416+1,1)</f>
        <v>1</v>
      </c>
      <c r="D417" s="85">
        <f t="shared" ref="D417:D421" si="46">IF(K417=K416,D416,C417)</f>
        <v>1</v>
      </c>
      <c r="E417" s="85">
        <f t="shared" ref="E417:E421" si="47">10+VALUE(RIGHT(LEFT(G417,3),1))</f>
        <v>12</v>
      </c>
      <c r="F417" s="85" t="str">
        <f t="shared" ref="F417:F421" si="48">RIGHT(G417,2) &amp; IF(A417&lt;2,"x","")</f>
        <v>pm</v>
      </c>
      <c r="G417" s="301" t="s">
        <v>193</v>
      </c>
      <c r="H417" s="301" t="s">
        <v>1063</v>
      </c>
      <c r="I417" s="301" t="s">
        <v>194</v>
      </c>
      <c r="K417" s="86">
        <f t="shared" ref="K417:K421" si="49">LOOKUP(1E+100,M417:AB417)</f>
        <v>1309.2757150235238</v>
      </c>
      <c r="M417" s="86">
        <v>1200</v>
      </c>
      <c r="P417" s="85">
        <v>1298.5668972647138</v>
      </c>
      <c r="R417" s="85">
        <v>1309.2757150235238</v>
      </c>
    </row>
    <row r="418" spans="1:18" x14ac:dyDescent="0.3">
      <c r="A418" s="85">
        <v>2</v>
      </c>
      <c r="C418" s="85">
        <f t="shared" si="45"/>
        <v>1</v>
      </c>
      <c r="D418" s="85">
        <f t="shared" si="46"/>
        <v>1</v>
      </c>
      <c r="E418" s="85">
        <f t="shared" si="47"/>
        <v>11</v>
      </c>
      <c r="F418" s="85" t="str">
        <f t="shared" si="48"/>
        <v>pm</v>
      </c>
      <c r="G418" s="301" t="s">
        <v>1072</v>
      </c>
      <c r="H418" s="301" t="s">
        <v>162</v>
      </c>
      <c r="I418" s="301" t="s">
        <v>1073</v>
      </c>
      <c r="K418" s="86">
        <f t="shared" si="49"/>
        <v>1213.4507817912975</v>
      </c>
      <c r="M418" s="86">
        <v>1200</v>
      </c>
      <c r="P418" s="85">
        <v>1213.4507817912975</v>
      </c>
    </row>
    <row r="419" spans="1:18" x14ac:dyDescent="0.3">
      <c r="A419" s="85">
        <v>2</v>
      </c>
      <c r="C419" s="85">
        <f t="shared" si="45"/>
        <v>1</v>
      </c>
      <c r="D419" s="85">
        <f t="shared" si="46"/>
        <v>1</v>
      </c>
      <c r="E419" s="85">
        <f t="shared" si="47"/>
        <v>12</v>
      </c>
      <c r="F419" s="85" t="str">
        <f t="shared" si="48"/>
        <v>pm</v>
      </c>
      <c r="G419" s="301" t="s">
        <v>1074</v>
      </c>
      <c r="H419" s="301" t="s">
        <v>1075</v>
      </c>
      <c r="I419" s="301" t="s">
        <v>22</v>
      </c>
      <c r="K419" s="86">
        <f t="shared" si="49"/>
        <v>1198.5075103942904</v>
      </c>
      <c r="M419" s="86">
        <v>1200</v>
      </c>
      <c r="P419" s="85">
        <v>1198.5075103942904</v>
      </c>
    </row>
    <row r="420" spans="1:18" x14ac:dyDescent="0.3">
      <c r="A420" s="85">
        <v>2</v>
      </c>
      <c r="C420" s="85">
        <f t="shared" si="45"/>
        <v>2</v>
      </c>
      <c r="D420" s="85">
        <f t="shared" si="46"/>
        <v>2</v>
      </c>
      <c r="E420" s="85">
        <f t="shared" si="47"/>
        <v>12</v>
      </c>
      <c r="F420" s="85" t="str">
        <f t="shared" si="48"/>
        <v>pm</v>
      </c>
      <c r="G420" s="301" t="s">
        <v>1076</v>
      </c>
      <c r="H420" s="301" t="s">
        <v>1075</v>
      </c>
      <c r="I420" s="301" t="s">
        <v>1077</v>
      </c>
      <c r="K420" s="86">
        <f t="shared" si="49"/>
        <v>1115.6045285651435</v>
      </c>
      <c r="M420" s="86">
        <v>1200</v>
      </c>
      <c r="P420" s="85">
        <v>1115.6045285651435</v>
      </c>
    </row>
    <row r="421" spans="1:18" x14ac:dyDescent="0.3">
      <c r="A421" s="85">
        <v>2</v>
      </c>
      <c r="C421" s="85">
        <f t="shared" si="45"/>
        <v>3</v>
      </c>
      <c r="D421" s="85">
        <f t="shared" si="46"/>
        <v>3</v>
      </c>
      <c r="E421" s="85">
        <f t="shared" si="47"/>
        <v>12</v>
      </c>
      <c r="F421" s="85" t="str">
        <f t="shared" si="48"/>
        <v>pm</v>
      </c>
      <c r="G421" s="301" t="s">
        <v>196</v>
      </c>
      <c r="H421" s="301" t="s">
        <v>1078</v>
      </c>
      <c r="I421" s="301" t="s">
        <v>1079</v>
      </c>
      <c r="K421" s="86">
        <f t="shared" si="49"/>
        <v>1151.5489354378585</v>
      </c>
      <c r="M421" s="86">
        <v>1200</v>
      </c>
      <c r="P421" s="85">
        <v>1151.5489354378585</v>
      </c>
    </row>
    <row r="422" spans="1:18" x14ac:dyDescent="0.3">
      <c r="G422" s="301"/>
      <c r="H422" s="301"/>
      <c r="I422" s="301"/>
    </row>
    <row r="423" spans="1:18" x14ac:dyDescent="0.3">
      <c r="A423" s="85">
        <v>2</v>
      </c>
      <c r="C423" s="85">
        <f t="shared" ref="C423" si="50">IF(E423=E422,C422+1,1)</f>
        <v>1</v>
      </c>
      <c r="D423" s="85">
        <f t="shared" ref="D423" si="51">IF(K423=K422,D422,C423)</f>
        <v>1</v>
      </c>
      <c r="E423" s="85">
        <f t="shared" ref="E423" si="52">10+VALUE(RIGHT(LEFT(G423,3),1))</f>
        <v>12</v>
      </c>
      <c r="F423" s="85" t="str">
        <f t="shared" ref="F423" si="53">RIGHT(G423,2) &amp; IF(A423&lt;2,"x","")</f>
        <v>pm</v>
      </c>
      <c r="G423" s="301" t="s">
        <v>185</v>
      </c>
      <c r="H423" s="301" t="s">
        <v>1080</v>
      </c>
      <c r="I423" s="301" t="s">
        <v>1081</v>
      </c>
      <c r="K423" s="86">
        <f t="shared" ref="K423" si="54">LOOKUP(1E+100,M423:AB423)</f>
        <v>1233.2107957429735</v>
      </c>
      <c r="M423" s="86">
        <v>1200</v>
      </c>
      <c r="P423" s="85">
        <v>1233.2107957429735</v>
      </c>
    </row>
    <row r="424" spans="1:18" x14ac:dyDescent="0.3">
      <c r="G424" s="301"/>
      <c r="H424" s="301"/>
      <c r="I424" s="301"/>
    </row>
  </sheetData>
  <conditionalFormatting sqref="K411:K424">
    <cfRule type="expression" dxfId="1161" priority="1">
      <formula>$E411=10</formula>
    </cfRule>
    <cfRule type="expression" dxfId="1160" priority="2">
      <formula>$E411=11</formula>
    </cfRule>
    <cfRule type="expression" dxfId="1159" priority="3">
      <formula>$E411=18</formula>
    </cfRule>
    <cfRule type="expression" dxfId="1158" priority="4">
      <formula>$E411=17</formula>
    </cfRule>
    <cfRule type="expression" dxfId="1157" priority="5">
      <formula>$E411=16</formula>
    </cfRule>
    <cfRule type="expression" dxfId="1156" priority="6">
      <formula>$E411=15</formula>
    </cfRule>
    <cfRule type="expression" dxfId="1155" priority="7">
      <formula>$E411=14</formula>
    </cfRule>
    <cfRule type="expression" dxfId="1154" priority="8">
      <formula>$E411=13</formula>
    </cfRule>
    <cfRule type="expression" dxfId="1153" priority="9">
      <formula>$E411=12</formula>
    </cfRule>
  </conditionalFormatting>
  <conditionalFormatting sqref="G1:I1">
    <cfRule type="containsText" dxfId="1152" priority="519" operator="containsText" text="CSRA">
      <formula>NOT(ISERROR(SEARCH("CSRA",G1)))</formula>
    </cfRule>
  </conditionalFormatting>
  <conditionalFormatting sqref="AJ1:XFD403 A1:AG403 AJ407:XFD410 G407:I407 A409:AG410 G408:J408 N407:AG408 A425:AG1048576 AJ425:XFD1048576">
    <cfRule type="expression" dxfId="1151" priority="574">
      <formula>$E1&lt;12</formula>
    </cfRule>
    <cfRule type="expression" dxfId="1150" priority="575">
      <formula>$E1=18</formula>
    </cfRule>
    <cfRule type="expression" dxfId="1149" priority="576">
      <formula>$E1=17</formula>
    </cfRule>
    <cfRule type="expression" dxfId="1148" priority="577">
      <formula>$E1=16</formula>
    </cfRule>
    <cfRule type="expression" dxfId="1147" priority="578">
      <formula>$E1=15</formula>
    </cfRule>
    <cfRule type="expression" dxfId="1146" priority="579">
      <formula>$E1=14</formula>
    </cfRule>
    <cfRule type="expression" dxfId="1145" priority="580">
      <formula>$E1=13</formula>
    </cfRule>
    <cfRule type="expression" dxfId="1144" priority="581">
      <formula>$E1=12</formula>
    </cfRule>
  </conditionalFormatting>
  <conditionalFormatting sqref="AJ1:XFD403 A1:AG403 AJ407:XFD410 G407:I407 A409:AG410 G408:J408 N407:AG408 A425:AG1048576 AJ425:XFD1048576">
    <cfRule type="expression" dxfId="1143" priority="565">
      <formula>$E1=10</formula>
    </cfRule>
    <cfRule type="expression" dxfId="1142" priority="566">
      <formula>$E1=11</formula>
    </cfRule>
    <cfRule type="expression" dxfId="1141" priority="567">
      <formula>$E1=18</formula>
    </cfRule>
    <cfRule type="expression" dxfId="1140" priority="568">
      <formula>$E1=17</formula>
    </cfRule>
    <cfRule type="expression" dxfId="1139" priority="569">
      <formula>$E1=16</formula>
    </cfRule>
    <cfRule type="expression" dxfId="1138" priority="570">
      <formula>$E1=15</formula>
    </cfRule>
    <cfRule type="expression" dxfId="1137" priority="571">
      <formula>$E1=14</formula>
    </cfRule>
    <cfRule type="expression" dxfId="1136" priority="572">
      <formula>$E1=13</formula>
    </cfRule>
    <cfRule type="expression" dxfId="1135" priority="573">
      <formula>$E1=12</formula>
    </cfRule>
  </conditionalFormatting>
  <conditionalFormatting sqref="N255:AG255 AJ255:XFD255">
    <cfRule type="expression" dxfId="1134" priority="556">
      <formula>$E255=10</formula>
    </cfRule>
    <cfRule type="expression" dxfId="1133" priority="557">
      <formula>$E255=11</formula>
    </cfRule>
    <cfRule type="expression" dxfId="1132" priority="558">
      <formula>$E255=18</formula>
    </cfRule>
    <cfRule type="expression" dxfId="1131" priority="559">
      <formula>$E255=17</formula>
    </cfRule>
    <cfRule type="expression" dxfId="1130" priority="560">
      <formula>$E255=16</formula>
    </cfRule>
    <cfRule type="expression" dxfId="1129" priority="561">
      <formula>$E255=15</formula>
    </cfRule>
    <cfRule type="expression" dxfId="1128" priority="562">
      <formula>$E255=14</formula>
    </cfRule>
    <cfRule type="expression" dxfId="1127" priority="563">
      <formula>$E255=13</formula>
    </cfRule>
    <cfRule type="expression" dxfId="1126" priority="564">
      <formula>$E255=12</formula>
    </cfRule>
  </conditionalFormatting>
  <conditionalFormatting sqref="AJ265:XFD268 IW258:XFD263 N265:AG268">
    <cfRule type="expression" dxfId="1125" priority="547">
      <formula>$E258=10</formula>
    </cfRule>
    <cfRule type="expression" dxfId="1124" priority="548">
      <formula>$E258=11</formula>
    </cfRule>
    <cfRule type="expression" dxfId="1123" priority="549">
      <formula>$E258=18</formula>
    </cfRule>
    <cfRule type="expression" dxfId="1122" priority="550">
      <formula>$E258=17</formula>
    </cfRule>
    <cfRule type="expression" dxfId="1121" priority="551">
      <formula>$E258=16</formula>
    </cfRule>
    <cfRule type="expression" dxfId="1120" priority="552">
      <formula>$E258=15</formula>
    </cfRule>
    <cfRule type="expression" dxfId="1119" priority="553">
      <formula>$E258=14</formula>
    </cfRule>
    <cfRule type="expression" dxfId="1118" priority="554">
      <formula>$E258=13</formula>
    </cfRule>
    <cfRule type="expression" dxfId="1117" priority="555">
      <formula>$E258=12</formula>
    </cfRule>
  </conditionalFormatting>
  <conditionalFormatting sqref="N261:AG263 AJ261:IV263">
    <cfRule type="expression" dxfId="1116" priority="538">
      <formula>$E261=10</formula>
    </cfRule>
    <cfRule type="expression" dxfId="1115" priority="539">
      <formula>$E261=11</formula>
    </cfRule>
    <cfRule type="expression" dxfId="1114" priority="540">
      <formula>$E261=18</formula>
    </cfRule>
    <cfRule type="expression" dxfId="1113" priority="541">
      <formula>$E261=17</formula>
    </cfRule>
    <cfRule type="expression" dxfId="1112" priority="542">
      <formula>$E261=16</formula>
    </cfRule>
    <cfRule type="expression" dxfId="1111" priority="543">
      <formula>$E261=15</formula>
    </cfRule>
    <cfRule type="expression" dxfId="1110" priority="544">
      <formula>$E261=14</formula>
    </cfRule>
    <cfRule type="expression" dxfId="1109" priority="545">
      <formula>$E261=13</formula>
    </cfRule>
    <cfRule type="expression" dxfId="1108" priority="546">
      <formula>$E261=12</formula>
    </cfRule>
  </conditionalFormatting>
  <conditionalFormatting sqref="H261">
    <cfRule type="expression" dxfId="1107" priority="483">
      <formula>$E261=10</formula>
    </cfRule>
    <cfRule type="expression" dxfId="1106" priority="484">
      <formula>$E261=11</formula>
    </cfRule>
    <cfRule type="expression" dxfId="1105" priority="485">
      <formula>$E261=18</formula>
    </cfRule>
    <cfRule type="expression" dxfId="1104" priority="486">
      <formula>$E261=17</formula>
    </cfRule>
    <cfRule type="expression" dxfId="1103" priority="487">
      <formula>$E261=16</formula>
    </cfRule>
    <cfRule type="expression" dxfId="1102" priority="488">
      <formula>$E261=15</formula>
    </cfRule>
    <cfRule type="expression" dxfId="1101" priority="489">
      <formula>$E261=14</formula>
    </cfRule>
    <cfRule type="expression" dxfId="1100" priority="490">
      <formula>$E261=13</formula>
    </cfRule>
    <cfRule type="expression" dxfId="1099" priority="491">
      <formula>$E261=12</formula>
    </cfRule>
  </conditionalFormatting>
  <conditionalFormatting sqref="N258:AG260 AJ258:IV260">
    <cfRule type="expression" dxfId="1098" priority="529">
      <formula>$E258=10</formula>
    </cfRule>
    <cfRule type="expression" dxfId="1097" priority="530">
      <formula>$E258=11</formula>
    </cfRule>
    <cfRule type="expression" dxfId="1096" priority="531">
      <formula>$E258=18</formula>
    </cfRule>
    <cfRule type="expression" dxfId="1095" priority="532">
      <formula>$E258=17</formula>
    </cfRule>
    <cfRule type="expression" dxfId="1094" priority="533">
      <formula>$E258=16</formula>
    </cfRule>
    <cfRule type="expression" dxfId="1093" priority="534">
      <formula>$E258=15</formula>
    </cfRule>
    <cfRule type="expression" dxfId="1092" priority="535">
      <formula>$E258=14</formula>
    </cfRule>
    <cfRule type="expression" dxfId="1091" priority="536">
      <formula>$E258=13</formula>
    </cfRule>
    <cfRule type="expression" dxfId="1090" priority="537">
      <formula>$E258=12</formula>
    </cfRule>
  </conditionalFormatting>
  <conditionalFormatting sqref="N264:AG264 AJ264:XFD264">
    <cfRule type="expression" dxfId="1089" priority="520">
      <formula>$E264=10</formula>
    </cfRule>
    <cfRule type="expression" dxfId="1088" priority="521">
      <formula>$E264=11</formula>
    </cfRule>
    <cfRule type="expression" dxfId="1087" priority="522">
      <formula>$E264=18</formula>
    </cfRule>
    <cfRule type="expression" dxfId="1086" priority="523">
      <formula>$E264=17</formula>
    </cfRule>
    <cfRule type="expression" dxfId="1085" priority="524">
      <formula>$E264=16</formula>
    </cfRule>
    <cfRule type="expression" dxfId="1084" priority="525">
      <formula>$E264=15</formula>
    </cfRule>
    <cfRule type="expression" dxfId="1083" priority="526">
      <formula>$E264=14</formula>
    </cfRule>
    <cfRule type="expression" dxfId="1082" priority="527">
      <formula>$E264=13</formula>
    </cfRule>
    <cfRule type="expression" dxfId="1081" priority="528">
      <formula>$E264=12</formula>
    </cfRule>
  </conditionalFormatting>
  <conditionalFormatting sqref="M264">
    <cfRule type="expression" dxfId="1080" priority="456">
      <formula>$E264=10</formula>
    </cfRule>
    <cfRule type="expression" dxfId="1079" priority="457">
      <formula>$E264=11</formula>
    </cfRule>
    <cfRule type="expression" dxfId="1078" priority="458">
      <formula>$E264=18</formula>
    </cfRule>
    <cfRule type="expression" dxfId="1077" priority="459">
      <formula>$E264=17</formula>
    </cfRule>
    <cfRule type="expression" dxfId="1076" priority="460">
      <formula>$E264=16</formula>
    </cfRule>
    <cfRule type="expression" dxfId="1075" priority="461">
      <formula>$E264=15</formula>
    </cfRule>
    <cfRule type="expression" dxfId="1074" priority="462">
      <formula>$E264=14</formula>
    </cfRule>
    <cfRule type="expression" dxfId="1073" priority="463">
      <formula>$E264=13</formula>
    </cfRule>
    <cfRule type="expression" dxfId="1072" priority="464">
      <formula>$E264=12</formula>
    </cfRule>
  </conditionalFormatting>
  <conditionalFormatting sqref="K264">
    <cfRule type="expression" dxfId="1071" priority="447">
      <formula>$E264=10</formula>
    </cfRule>
    <cfRule type="expression" dxfId="1070" priority="448">
      <formula>$E264=11</formula>
    </cfRule>
    <cfRule type="expression" dxfId="1069" priority="449">
      <formula>$E264=18</formula>
    </cfRule>
    <cfRule type="expression" dxfId="1068" priority="450">
      <formula>$E264=17</formula>
    </cfRule>
    <cfRule type="expression" dxfId="1067" priority="451">
      <formula>$E264=16</formula>
    </cfRule>
    <cfRule type="expression" dxfId="1066" priority="452">
      <formula>$E264=15</formula>
    </cfRule>
    <cfRule type="expression" dxfId="1065" priority="453">
      <formula>$E264=14</formula>
    </cfRule>
    <cfRule type="expression" dxfId="1064" priority="454">
      <formula>$E264=13</formula>
    </cfRule>
    <cfRule type="expression" dxfId="1063" priority="455">
      <formula>$E264=12</formula>
    </cfRule>
  </conditionalFormatting>
  <conditionalFormatting sqref="G264">
    <cfRule type="expression" dxfId="1062" priority="438">
      <formula>$E264=10</formula>
    </cfRule>
    <cfRule type="expression" dxfId="1061" priority="439">
      <formula>$E264=11</formula>
    </cfRule>
    <cfRule type="expression" dxfId="1060" priority="440">
      <formula>$E264=18</formula>
    </cfRule>
    <cfRule type="expression" dxfId="1059" priority="441">
      <formula>$E264=17</formula>
    </cfRule>
    <cfRule type="expression" dxfId="1058" priority="442">
      <formula>$E264=16</formula>
    </cfRule>
    <cfRule type="expression" dxfId="1057" priority="443">
      <formula>$E264=15</formula>
    </cfRule>
    <cfRule type="expression" dxfId="1056" priority="444">
      <formula>$E264=14</formula>
    </cfRule>
    <cfRule type="expression" dxfId="1055" priority="445">
      <formula>$E264=13</formula>
    </cfRule>
    <cfRule type="expression" dxfId="1054" priority="446">
      <formula>$E264=12</formula>
    </cfRule>
  </conditionalFormatting>
  <conditionalFormatting sqref="C264:F264">
    <cfRule type="expression" dxfId="1053" priority="429">
      <formula>$E264=10</formula>
    </cfRule>
    <cfRule type="expression" dxfId="1052" priority="430">
      <formula>$E264=11</formula>
    </cfRule>
    <cfRule type="expression" dxfId="1051" priority="431">
      <formula>$E264=18</formula>
    </cfRule>
    <cfRule type="expression" dxfId="1050" priority="432">
      <formula>$E264=17</formula>
    </cfRule>
    <cfRule type="expression" dxfId="1049" priority="433">
      <formula>$E264=16</formula>
    </cfRule>
    <cfRule type="expression" dxfId="1048" priority="434">
      <formula>$E264=15</formula>
    </cfRule>
    <cfRule type="expression" dxfId="1047" priority="435">
      <formula>$E264=14</formula>
    </cfRule>
    <cfRule type="expression" dxfId="1046" priority="436">
      <formula>$E264=13</formula>
    </cfRule>
    <cfRule type="expression" dxfId="1045" priority="437">
      <formula>$E264=12</formula>
    </cfRule>
  </conditionalFormatting>
  <conditionalFormatting sqref="A255:M255">
    <cfRule type="expression" dxfId="1044" priority="510">
      <formula>$E255=10</formula>
    </cfRule>
    <cfRule type="expression" dxfId="1043" priority="511">
      <formula>$E255=11</formula>
    </cfRule>
    <cfRule type="expression" dxfId="1042" priority="512">
      <formula>$E255=18</formula>
    </cfRule>
    <cfRule type="expression" dxfId="1041" priority="513">
      <formula>$E255=17</formula>
    </cfRule>
    <cfRule type="expression" dxfId="1040" priority="514">
      <formula>$E255=16</formula>
    </cfRule>
    <cfRule type="expression" dxfId="1039" priority="515">
      <formula>$E255=15</formula>
    </cfRule>
    <cfRule type="expression" dxfId="1038" priority="516">
      <formula>$E255=14</formula>
    </cfRule>
    <cfRule type="expression" dxfId="1037" priority="517">
      <formula>$E255=13</formula>
    </cfRule>
    <cfRule type="expression" dxfId="1036" priority="518">
      <formula>$E255=12</formula>
    </cfRule>
  </conditionalFormatting>
  <conditionalFormatting sqref="A265:M268">
    <cfRule type="expression" dxfId="1035" priority="501">
      <formula>$E265=10</formula>
    </cfRule>
    <cfRule type="expression" dxfId="1034" priority="502">
      <formula>$E265=11</formula>
    </cfRule>
    <cfRule type="expression" dxfId="1033" priority="503">
      <formula>$E265=18</formula>
    </cfRule>
    <cfRule type="expression" dxfId="1032" priority="504">
      <formula>$E265=17</formula>
    </cfRule>
    <cfRule type="expression" dxfId="1031" priority="505">
      <formula>$E265=16</formula>
    </cfRule>
    <cfRule type="expression" dxfId="1030" priority="506">
      <formula>$E265=15</formula>
    </cfRule>
    <cfRule type="expression" dxfId="1029" priority="507">
      <formula>$E265=14</formula>
    </cfRule>
    <cfRule type="expression" dxfId="1028" priority="508">
      <formula>$E265=13</formula>
    </cfRule>
    <cfRule type="expression" dxfId="1027" priority="509">
      <formula>$E265=12</formula>
    </cfRule>
  </conditionalFormatting>
  <conditionalFormatting sqref="A262:M262 A261:F261 J261:M261 H263 K263:M263 A263:F263">
    <cfRule type="expression" dxfId="1026" priority="492">
      <formula>$E261=10</formula>
    </cfRule>
    <cfRule type="expression" dxfId="1025" priority="493">
      <formula>$E261=11</formula>
    </cfRule>
    <cfRule type="expression" dxfId="1024" priority="494">
      <formula>$E261=18</formula>
    </cfRule>
    <cfRule type="expression" dxfId="1023" priority="495">
      <formula>$E261=17</formula>
    </cfRule>
    <cfRule type="expression" dxfId="1022" priority="496">
      <formula>$E261=16</formula>
    </cfRule>
    <cfRule type="expression" dxfId="1021" priority="497">
      <formula>$E261=15</formula>
    </cfRule>
    <cfRule type="expression" dxfId="1020" priority="498">
      <formula>$E261=14</formula>
    </cfRule>
    <cfRule type="expression" dxfId="1019" priority="499">
      <formula>$E261=13</formula>
    </cfRule>
    <cfRule type="expression" dxfId="1018" priority="500">
      <formula>$E261=12</formula>
    </cfRule>
  </conditionalFormatting>
  <conditionalFormatting sqref="A258:M260">
    <cfRule type="expression" dxfId="1017" priority="474">
      <formula>$E258=10</formula>
    </cfRule>
    <cfRule type="expression" dxfId="1016" priority="475">
      <formula>$E258=11</formula>
    </cfRule>
    <cfRule type="expression" dxfId="1015" priority="476">
      <formula>$E258=18</formula>
    </cfRule>
    <cfRule type="expression" dxfId="1014" priority="477">
      <formula>$E258=17</formula>
    </cfRule>
    <cfRule type="expression" dxfId="1013" priority="478">
      <formula>$E258=16</formula>
    </cfRule>
    <cfRule type="expression" dxfId="1012" priority="479">
      <formula>$E258=15</formula>
    </cfRule>
    <cfRule type="expression" dxfId="1011" priority="480">
      <formula>$E258=14</formula>
    </cfRule>
    <cfRule type="expression" dxfId="1010" priority="481">
      <formula>$E258=13</formula>
    </cfRule>
    <cfRule type="expression" dxfId="1009" priority="482">
      <formula>$E258=12</formula>
    </cfRule>
  </conditionalFormatting>
  <conditionalFormatting sqref="A264:B264 J264 L264 H264">
    <cfRule type="expression" dxfId="1008" priority="465">
      <formula>$E264=10</formula>
    </cfRule>
    <cfRule type="expression" dxfId="1007" priority="466">
      <formula>$E264=11</formula>
    </cfRule>
    <cfRule type="expression" dxfId="1006" priority="467">
      <formula>$E264=18</formula>
    </cfRule>
    <cfRule type="expression" dxfId="1005" priority="468">
      <formula>$E264=17</formula>
    </cfRule>
    <cfRule type="expression" dxfId="1004" priority="469">
      <formula>$E264=16</formula>
    </cfRule>
    <cfRule type="expression" dxfId="1003" priority="470">
      <formula>$E264=15</formula>
    </cfRule>
    <cfRule type="expression" dxfId="1002" priority="471">
      <formula>$E264=14</formula>
    </cfRule>
    <cfRule type="expression" dxfId="1001" priority="472">
      <formula>$E264=13</formula>
    </cfRule>
    <cfRule type="expression" dxfId="1000" priority="473">
      <formula>$E264=12</formula>
    </cfRule>
  </conditionalFormatting>
  <conditionalFormatting sqref="N406:AG406 AJ406:XFD406">
    <cfRule type="expression" dxfId="999" priority="421">
      <formula>$E406&lt;12</formula>
    </cfRule>
    <cfRule type="expression" dxfId="998" priority="422">
      <formula>$E406=18</formula>
    </cfRule>
    <cfRule type="expression" dxfId="997" priority="423">
      <formula>$E406=17</formula>
    </cfRule>
    <cfRule type="expression" dxfId="996" priority="424">
      <formula>$E406=16</formula>
    </cfRule>
    <cfRule type="expression" dxfId="995" priority="425">
      <formula>$E406=15</formula>
    </cfRule>
    <cfRule type="expression" dxfId="994" priority="426">
      <formula>$E406=14</formula>
    </cfRule>
    <cfRule type="expression" dxfId="993" priority="427">
      <formula>$E406=13</formula>
    </cfRule>
    <cfRule type="expression" dxfId="992" priority="428">
      <formula>$E406=12</formula>
    </cfRule>
  </conditionalFormatting>
  <conditionalFormatting sqref="N406:AG406 AJ406:XFD406">
    <cfRule type="expression" dxfId="991" priority="412">
      <formula>$E406=10</formula>
    </cfRule>
    <cfRule type="expression" dxfId="990" priority="413">
      <formula>$E406=11</formula>
    </cfRule>
    <cfRule type="expression" dxfId="989" priority="414">
      <formula>$E406=18</formula>
    </cfRule>
    <cfRule type="expression" dxfId="988" priority="415">
      <formula>$E406=17</formula>
    </cfRule>
    <cfRule type="expression" dxfId="987" priority="416">
      <formula>$E406=16</formula>
    </cfRule>
    <cfRule type="expression" dxfId="986" priority="417">
      <formula>$E406=15</formula>
    </cfRule>
    <cfRule type="expression" dxfId="985" priority="418">
      <formula>$E406=14</formula>
    </cfRule>
    <cfRule type="expression" dxfId="984" priority="419">
      <formula>$E406=13</formula>
    </cfRule>
    <cfRule type="expression" dxfId="983" priority="420">
      <formula>$E406=12</formula>
    </cfRule>
  </conditionalFormatting>
  <conditionalFormatting sqref="G406:J406">
    <cfRule type="expression" dxfId="982" priority="404">
      <formula>$E406&lt;12</formula>
    </cfRule>
    <cfRule type="expression" dxfId="981" priority="405">
      <formula>$E406=18</formula>
    </cfRule>
    <cfRule type="expression" dxfId="980" priority="406">
      <formula>$E406=17</formula>
    </cfRule>
    <cfRule type="expression" dxfId="979" priority="407">
      <formula>$E406=16</formula>
    </cfRule>
    <cfRule type="expression" dxfId="978" priority="408">
      <formula>$E406=15</formula>
    </cfRule>
    <cfRule type="expression" dxfId="977" priority="409">
      <formula>$E406=14</formula>
    </cfRule>
    <cfRule type="expression" dxfId="976" priority="410">
      <formula>$E406=13</formula>
    </cfRule>
    <cfRule type="expression" dxfId="975" priority="411">
      <formula>$E406=12</formula>
    </cfRule>
  </conditionalFormatting>
  <conditionalFormatting sqref="G406:J406">
    <cfRule type="expression" dxfId="974" priority="395">
      <formula>$E406=10</formula>
    </cfRule>
    <cfRule type="expression" dxfId="973" priority="396">
      <formula>$E406=11</formula>
    </cfRule>
    <cfRule type="expression" dxfId="972" priority="397">
      <formula>$E406=18</formula>
    </cfRule>
    <cfRule type="expression" dxfId="971" priority="398">
      <formula>$E406=17</formula>
    </cfRule>
    <cfRule type="expression" dxfId="970" priority="399">
      <formula>$E406=16</formula>
    </cfRule>
    <cfRule type="expression" dxfId="969" priority="400">
      <formula>$E406=15</formula>
    </cfRule>
    <cfRule type="expression" dxfId="968" priority="401">
      <formula>$E406=14</formula>
    </cfRule>
    <cfRule type="expression" dxfId="967" priority="402">
      <formula>$E406=13</formula>
    </cfRule>
    <cfRule type="expression" dxfId="966" priority="403">
      <formula>$E406=12</formula>
    </cfRule>
  </conditionalFormatting>
  <conditionalFormatting sqref="AJ404:XFD404 N404:AG404">
    <cfRule type="expression" dxfId="965" priority="387">
      <formula>$E404&lt;12</formula>
    </cfRule>
    <cfRule type="expression" dxfId="964" priority="388">
      <formula>$E404=18</formula>
    </cfRule>
    <cfRule type="expression" dxfId="963" priority="389">
      <formula>$E404=17</formula>
    </cfRule>
    <cfRule type="expression" dxfId="962" priority="390">
      <formula>$E404=16</formula>
    </cfRule>
    <cfRule type="expression" dxfId="961" priority="391">
      <formula>$E404=15</formula>
    </cfRule>
    <cfRule type="expression" dxfId="960" priority="392">
      <formula>$E404=14</formula>
    </cfRule>
    <cfRule type="expression" dxfId="959" priority="393">
      <formula>$E404=13</formula>
    </cfRule>
    <cfRule type="expression" dxfId="958" priority="394">
      <formula>$E404=12</formula>
    </cfRule>
  </conditionalFormatting>
  <conditionalFormatting sqref="AJ404:XFD404 N404:AG404">
    <cfRule type="expression" dxfId="957" priority="378">
      <formula>$E404=10</formula>
    </cfRule>
    <cfRule type="expression" dxfId="956" priority="379">
      <formula>$E404=11</formula>
    </cfRule>
    <cfRule type="expression" dxfId="955" priority="380">
      <formula>$E404=18</formula>
    </cfRule>
    <cfRule type="expression" dxfId="954" priority="381">
      <formula>$E404=17</formula>
    </cfRule>
    <cfRule type="expression" dxfId="953" priority="382">
      <formula>$E404=16</formula>
    </cfRule>
    <cfRule type="expression" dxfId="952" priority="383">
      <formula>$E404=15</formula>
    </cfRule>
    <cfRule type="expression" dxfId="951" priority="384">
      <formula>$E404=14</formula>
    </cfRule>
    <cfRule type="expression" dxfId="950" priority="385">
      <formula>$E404=13</formula>
    </cfRule>
    <cfRule type="expression" dxfId="949" priority="386">
      <formula>$E404=12</formula>
    </cfRule>
  </conditionalFormatting>
  <conditionalFormatting sqref="K404">
    <cfRule type="expression" dxfId="948" priority="352">
      <formula>$E404=10</formula>
    </cfRule>
    <cfRule type="expression" dxfId="947" priority="353">
      <formula>$E404=11</formula>
    </cfRule>
    <cfRule type="expression" dxfId="946" priority="354">
      <formula>$E404=18</formula>
    </cfRule>
    <cfRule type="expression" dxfId="945" priority="355">
      <formula>$E404=17</formula>
    </cfRule>
    <cfRule type="expression" dxfId="944" priority="356">
      <formula>$E404=16</formula>
    </cfRule>
    <cfRule type="expression" dxfId="943" priority="357">
      <formula>$E404=15</formula>
    </cfRule>
    <cfRule type="expression" dxfId="942" priority="358">
      <formula>$E404=14</formula>
    </cfRule>
    <cfRule type="expression" dxfId="941" priority="359">
      <formula>$E404=13</formula>
    </cfRule>
    <cfRule type="expression" dxfId="940" priority="360">
      <formula>$E404=12</formula>
    </cfRule>
  </conditionalFormatting>
  <conditionalFormatting sqref="A404:M404">
    <cfRule type="expression" dxfId="939" priority="370">
      <formula>$E404&lt;12</formula>
    </cfRule>
    <cfRule type="expression" dxfId="938" priority="371">
      <formula>$E404=18</formula>
    </cfRule>
    <cfRule type="expression" dxfId="937" priority="372">
      <formula>$E404=17</formula>
    </cfRule>
    <cfRule type="expression" dxfId="936" priority="373">
      <formula>$E404=16</formula>
    </cfRule>
    <cfRule type="expression" dxfId="935" priority="374">
      <formula>$E404=15</formula>
    </cfRule>
    <cfRule type="expression" dxfId="934" priority="375">
      <formula>$E404=14</formula>
    </cfRule>
    <cfRule type="expression" dxfId="933" priority="376">
      <formula>$E404=13</formula>
    </cfRule>
    <cfRule type="expression" dxfId="932" priority="377">
      <formula>$E404=12</formula>
    </cfRule>
  </conditionalFormatting>
  <conditionalFormatting sqref="A404:M404">
    <cfRule type="expression" dxfId="931" priority="361">
      <formula>$E404=10</formula>
    </cfRule>
    <cfRule type="expression" dxfId="930" priority="362">
      <formula>$E404=11</formula>
    </cfRule>
    <cfRule type="expression" dxfId="929" priority="363">
      <formula>$E404=18</formula>
    </cfRule>
    <cfRule type="expression" dxfId="928" priority="364">
      <formula>$E404=17</formula>
    </cfRule>
    <cfRule type="expression" dxfId="927" priority="365">
      <formula>$E404=16</formula>
    </cfRule>
    <cfRule type="expression" dxfId="926" priority="366">
      <formula>$E404=15</formula>
    </cfRule>
    <cfRule type="expression" dxfId="925" priority="367">
      <formula>$E404=14</formula>
    </cfRule>
    <cfRule type="expression" dxfId="924" priority="368">
      <formula>$E404=13</formula>
    </cfRule>
    <cfRule type="expression" dxfId="923" priority="369">
      <formula>$E404=12</formula>
    </cfRule>
  </conditionalFormatting>
  <conditionalFormatting sqref="AJ405:XFD405 N405:AG405">
    <cfRule type="expression" dxfId="922" priority="344">
      <formula>$E405&lt;12</formula>
    </cfRule>
    <cfRule type="expression" dxfId="921" priority="345">
      <formula>$E405=18</formula>
    </cfRule>
    <cfRule type="expression" dxfId="920" priority="346">
      <formula>$E405=17</formula>
    </cfRule>
    <cfRule type="expression" dxfId="919" priority="347">
      <formula>$E405=16</formula>
    </cfRule>
    <cfRule type="expression" dxfId="918" priority="348">
      <formula>$E405=15</formula>
    </cfRule>
    <cfRule type="expression" dxfId="917" priority="349">
      <formula>$E405=14</formula>
    </cfRule>
    <cfRule type="expression" dxfId="916" priority="350">
      <formula>$E405=13</formula>
    </cfRule>
    <cfRule type="expression" dxfId="915" priority="351">
      <formula>$E405=12</formula>
    </cfRule>
  </conditionalFormatting>
  <conditionalFormatting sqref="AJ405:XFD405 N405:AG405">
    <cfRule type="expression" dxfId="914" priority="335">
      <formula>$E405=10</formula>
    </cfRule>
    <cfRule type="expression" dxfId="913" priority="336">
      <formula>$E405=11</formula>
    </cfRule>
    <cfRule type="expression" dxfId="912" priority="337">
      <formula>$E405=18</formula>
    </cfRule>
    <cfRule type="expression" dxfId="911" priority="338">
      <formula>$E405=17</formula>
    </cfRule>
    <cfRule type="expression" dxfId="910" priority="339">
      <formula>$E405=16</formula>
    </cfRule>
    <cfRule type="expression" dxfId="909" priority="340">
      <formula>$E405=15</formula>
    </cfRule>
    <cfRule type="expression" dxfId="908" priority="341">
      <formula>$E405=14</formula>
    </cfRule>
    <cfRule type="expression" dxfId="907" priority="342">
      <formula>$E405=13</formula>
    </cfRule>
    <cfRule type="expression" dxfId="906" priority="343">
      <formula>$E405=12</formula>
    </cfRule>
  </conditionalFormatting>
  <conditionalFormatting sqref="G405:J405 L405:M405">
    <cfRule type="expression" dxfId="905" priority="327">
      <formula>$E405&lt;12</formula>
    </cfRule>
    <cfRule type="expression" dxfId="904" priority="328">
      <formula>$E405=18</formula>
    </cfRule>
    <cfRule type="expression" dxfId="903" priority="329">
      <formula>$E405=17</formula>
    </cfRule>
    <cfRule type="expression" dxfId="902" priority="330">
      <formula>$E405=16</formula>
    </cfRule>
    <cfRule type="expression" dxfId="901" priority="331">
      <formula>$E405=15</formula>
    </cfRule>
    <cfRule type="expression" dxfId="900" priority="332">
      <formula>$E405=14</formula>
    </cfRule>
    <cfRule type="expression" dxfId="899" priority="333">
      <formula>$E405=13</formula>
    </cfRule>
    <cfRule type="expression" dxfId="898" priority="334">
      <formula>$E405=12</formula>
    </cfRule>
  </conditionalFormatting>
  <conditionalFormatting sqref="G405:J405 L405:M405">
    <cfRule type="expression" dxfId="897" priority="318">
      <formula>$E405=10</formula>
    </cfRule>
    <cfRule type="expression" dxfId="896" priority="319">
      <formula>$E405=11</formula>
    </cfRule>
    <cfRule type="expression" dxfId="895" priority="320">
      <formula>$E405=18</formula>
    </cfRule>
    <cfRule type="expression" dxfId="894" priority="321">
      <formula>$E405=17</formula>
    </cfRule>
    <cfRule type="expression" dxfId="893" priority="322">
      <formula>$E405=16</formula>
    </cfRule>
    <cfRule type="expression" dxfId="892" priority="323">
      <formula>$E405=15</formula>
    </cfRule>
    <cfRule type="expression" dxfId="891" priority="324">
      <formula>$E405=14</formula>
    </cfRule>
    <cfRule type="expression" dxfId="890" priority="325">
      <formula>$E405=13</formula>
    </cfRule>
    <cfRule type="expression" dxfId="889" priority="326">
      <formula>$E405=12</formula>
    </cfRule>
  </conditionalFormatting>
  <conditionalFormatting sqref="A405:F405">
    <cfRule type="expression" dxfId="888" priority="310">
      <formula>$E405&lt;12</formula>
    </cfRule>
    <cfRule type="expression" dxfId="887" priority="311">
      <formula>$E405=18</formula>
    </cfRule>
    <cfRule type="expression" dxfId="886" priority="312">
      <formula>$E405=17</formula>
    </cfRule>
    <cfRule type="expression" dxfId="885" priority="313">
      <formula>$E405=16</formula>
    </cfRule>
    <cfRule type="expression" dxfId="884" priority="314">
      <formula>$E405=15</formula>
    </cfRule>
    <cfRule type="expression" dxfId="883" priority="315">
      <formula>$E405=14</formula>
    </cfRule>
    <cfRule type="expression" dxfId="882" priority="316">
      <formula>$E405=13</formula>
    </cfRule>
    <cfRule type="expression" dxfId="881" priority="317">
      <formula>$E405=12</formula>
    </cfRule>
  </conditionalFormatting>
  <conditionalFormatting sqref="A405:F405">
    <cfRule type="expression" dxfId="880" priority="301">
      <formula>$E405=10</formula>
    </cfRule>
    <cfRule type="expression" dxfId="879" priority="302">
      <formula>$E405=11</formula>
    </cfRule>
    <cfRule type="expression" dxfId="878" priority="303">
      <formula>$E405=18</formula>
    </cfRule>
    <cfRule type="expression" dxfId="877" priority="304">
      <formula>$E405=17</formula>
    </cfRule>
    <cfRule type="expression" dxfId="876" priority="305">
      <formula>$E405=16</formula>
    </cfRule>
    <cfRule type="expression" dxfId="875" priority="306">
      <formula>$E405=15</formula>
    </cfRule>
    <cfRule type="expression" dxfId="874" priority="307">
      <formula>$E405=14</formula>
    </cfRule>
    <cfRule type="expression" dxfId="873" priority="308">
      <formula>$E405=13</formula>
    </cfRule>
    <cfRule type="expression" dxfId="872" priority="309">
      <formula>$E405=12</formula>
    </cfRule>
  </conditionalFormatting>
  <conditionalFormatting sqref="K405">
    <cfRule type="expression" dxfId="871" priority="275">
      <formula>$E405=10</formula>
    </cfRule>
    <cfRule type="expression" dxfId="870" priority="276">
      <formula>$E405=11</formula>
    </cfRule>
    <cfRule type="expression" dxfId="869" priority="277">
      <formula>$E405=18</formula>
    </cfRule>
    <cfRule type="expression" dxfId="868" priority="278">
      <formula>$E405=17</formula>
    </cfRule>
    <cfRule type="expression" dxfId="867" priority="279">
      <formula>$E405=16</formula>
    </cfRule>
    <cfRule type="expression" dxfId="866" priority="280">
      <formula>$E405=15</formula>
    </cfRule>
    <cfRule type="expression" dxfId="865" priority="281">
      <formula>$E405=14</formula>
    </cfRule>
    <cfRule type="expression" dxfId="864" priority="282">
      <formula>$E405=13</formula>
    </cfRule>
    <cfRule type="expression" dxfId="863" priority="283">
      <formula>$E405=12</formula>
    </cfRule>
  </conditionalFormatting>
  <conditionalFormatting sqref="K405">
    <cfRule type="expression" dxfId="862" priority="293">
      <formula>$E405&lt;12</formula>
    </cfRule>
    <cfRule type="expression" dxfId="861" priority="294">
      <formula>$E405=18</formula>
    </cfRule>
    <cfRule type="expression" dxfId="860" priority="295">
      <formula>$E405=17</formula>
    </cfRule>
    <cfRule type="expression" dxfId="859" priority="296">
      <formula>$E405=16</formula>
    </cfRule>
    <cfRule type="expression" dxfId="858" priority="297">
      <formula>$E405=15</formula>
    </cfRule>
    <cfRule type="expression" dxfId="857" priority="298">
      <formula>$E405=14</formula>
    </cfRule>
    <cfRule type="expression" dxfId="856" priority="299">
      <formula>$E405=13</formula>
    </cfRule>
    <cfRule type="expression" dxfId="855" priority="300">
      <formula>$E405=12</formula>
    </cfRule>
  </conditionalFormatting>
  <conditionalFormatting sqref="K405">
    <cfRule type="expression" dxfId="854" priority="284">
      <formula>$E405=10</formula>
    </cfRule>
    <cfRule type="expression" dxfId="853" priority="285">
      <formula>$E405=11</formula>
    </cfRule>
    <cfRule type="expression" dxfId="852" priority="286">
      <formula>$E405=18</formula>
    </cfRule>
    <cfRule type="expression" dxfId="851" priority="287">
      <formula>$E405=17</formula>
    </cfRule>
    <cfRule type="expression" dxfId="850" priority="288">
      <formula>$E405=16</formula>
    </cfRule>
    <cfRule type="expression" dxfId="849" priority="289">
      <formula>$E405=15</formula>
    </cfRule>
    <cfRule type="expression" dxfId="848" priority="290">
      <formula>$E405=14</formula>
    </cfRule>
    <cfRule type="expression" dxfId="847" priority="291">
      <formula>$E405=13</formula>
    </cfRule>
    <cfRule type="expression" dxfId="846" priority="292">
      <formula>$E405=12</formula>
    </cfRule>
  </conditionalFormatting>
  <conditionalFormatting sqref="A406:F406">
    <cfRule type="expression" dxfId="845" priority="267">
      <formula>$E406&lt;12</formula>
    </cfRule>
    <cfRule type="expression" dxfId="844" priority="268">
      <formula>$E406=18</formula>
    </cfRule>
    <cfRule type="expression" dxfId="843" priority="269">
      <formula>$E406=17</formula>
    </cfRule>
    <cfRule type="expression" dxfId="842" priority="270">
      <formula>$E406=16</formula>
    </cfRule>
    <cfRule type="expression" dxfId="841" priority="271">
      <formula>$E406=15</formula>
    </cfRule>
    <cfRule type="expression" dxfId="840" priority="272">
      <formula>$E406=14</formula>
    </cfRule>
    <cfRule type="expression" dxfId="839" priority="273">
      <formula>$E406=13</formula>
    </cfRule>
    <cfRule type="expression" dxfId="838" priority="274">
      <formula>$E406=12</formula>
    </cfRule>
  </conditionalFormatting>
  <conditionalFormatting sqref="A406:F406">
    <cfRule type="expression" dxfId="837" priority="258">
      <formula>$E406=10</formula>
    </cfRule>
    <cfRule type="expression" dxfId="836" priority="259">
      <formula>$E406=11</formula>
    </cfRule>
    <cfRule type="expression" dxfId="835" priority="260">
      <formula>$E406=18</formula>
    </cfRule>
    <cfRule type="expression" dxfId="834" priority="261">
      <formula>$E406=17</formula>
    </cfRule>
    <cfRule type="expression" dxfId="833" priority="262">
      <formula>$E406=16</formula>
    </cfRule>
    <cfRule type="expression" dxfId="832" priority="263">
      <formula>$E406=15</formula>
    </cfRule>
    <cfRule type="expression" dxfId="831" priority="264">
      <formula>$E406=14</formula>
    </cfRule>
    <cfRule type="expression" dxfId="830" priority="265">
      <formula>$E406=13</formula>
    </cfRule>
    <cfRule type="expression" dxfId="829" priority="266">
      <formula>$E406=12</formula>
    </cfRule>
  </conditionalFormatting>
  <conditionalFormatting sqref="L406:M406">
    <cfRule type="expression" dxfId="828" priority="250">
      <formula>$E406&lt;12</formula>
    </cfRule>
    <cfRule type="expression" dxfId="827" priority="251">
      <formula>$E406=18</formula>
    </cfRule>
    <cfRule type="expression" dxfId="826" priority="252">
      <formula>$E406=17</formula>
    </cfRule>
    <cfRule type="expression" dxfId="825" priority="253">
      <formula>$E406=16</formula>
    </cfRule>
    <cfRule type="expression" dxfId="824" priority="254">
      <formula>$E406=15</formula>
    </cfRule>
    <cfRule type="expression" dxfId="823" priority="255">
      <formula>$E406=14</formula>
    </cfRule>
    <cfRule type="expression" dxfId="822" priority="256">
      <formula>$E406=13</formula>
    </cfRule>
    <cfRule type="expression" dxfId="821" priority="257">
      <formula>$E406=12</formula>
    </cfRule>
  </conditionalFormatting>
  <conditionalFormatting sqref="L406:M406">
    <cfRule type="expression" dxfId="820" priority="241">
      <formula>$E406=10</formula>
    </cfRule>
    <cfRule type="expression" dxfId="819" priority="242">
      <formula>$E406=11</formula>
    </cfRule>
    <cfRule type="expression" dxfId="818" priority="243">
      <formula>$E406=18</formula>
    </cfRule>
    <cfRule type="expression" dxfId="817" priority="244">
      <formula>$E406=17</formula>
    </cfRule>
    <cfRule type="expression" dxfId="816" priority="245">
      <formula>$E406=16</formula>
    </cfRule>
    <cfRule type="expression" dxfId="815" priority="246">
      <formula>$E406=15</formula>
    </cfRule>
    <cfRule type="expression" dxfId="814" priority="247">
      <formula>$E406=14</formula>
    </cfRule>
    <cfRule type="expression" dxfId="813" priority="248">
      <formula>$E406=13</formula>
    </cfRule>
    <cfRule type="expression" dxfId="812" priority="249">
      <formula>$E406=12</formula>
    </cfRule>
  </conditionalFormatting>
  <conditionalFormatting sqref="K406">
    <cfRule type="expression" dxfId="811" priority="215">
      <formula>$E406=10</formula>
    </cfRule>
    <cfRule type="expression" dxfId="810" priority="216">
      <formula>$E406=11</formula>
    </cfRule>
    <cfRule type="expression" dxfId="809" priority="217">
      <formula>$E406=18</formula>
    </cfRule>
    <cfRule type="expression" dxfId="808" priority="218">
      <formula>$E406=17</formula>
    </cfRule>
    <cfRule type="expression" dxfId="807" priority="219">
      <formula>$E406=16</formula>
    </cfRule>
    <cfRule type="expression" dxfId="806" priority="220">
      <formula>$E406=15</formula>
    </cfRule>
    <cfRule type="expression" dxfId="805" priority="221">
      <formula>$E406=14</formula>
    </cfRule>
    <cfRule type="expression" dxfId="804" priority="222">
      <formula>$E406=13</formula>
    </cfRule>
    <cfRule type="expression" dxfId="803" priority="223">
      <formula>$E406=12</formula>
    </cfRule>
  </conditionalFormatting>
  <conditionalFormatting sqref="K406">
    <cfRule type="expression" dxfId="802" priority="233">
      <formula>$E406&lt;12</formula>
    </cfRule>
    <cfRule type="expression" dxfId="801" priority="234">
      <formula>$E406=18</formula>
    </cfRule>
    <cfRule type="expression" dxfId="800" priority="235">
      <formula>$E406=17</formula>
    </cfRule>
    <cfRule type="expression" dxfId="799" priority="236">
      <formula>$E406=16</formula>
    </cfRule>
    <cfRule type="expression" dxfId="798" priority="237">
      <formula>$E406=15</formula>
    </cfRule>
    <cfRule type="expression" dxfId="797" priority="238">
      <formula>$E406=14</formula>
    </cfRule>
    <cfRule type="expression" dxfId="796" priority="239">
      <formula>$E406=13</formula>
    </cfRule>
    <cfRule type="expression" dxfId="795" priority="240">
      <formula>$E406=12</formula>
    </cfRule>
  </conditionalFormatting>
  <conditionalFormatting sqref="K406">
    <cfRule type="expression" dxfId="794" priority="224">
      <formula>$E406=10</formula>
    </cfRule>
    <cfRule type="expression" dxfId="793" priority="225">
      <formula>$E406=11</formula>
    </cfRule>
    <cfRule type="expression" dxfId="792" priority="226">
      <formula>$E406=18</formula>
    </cfRule>
    <cfRule type="expression" dxfId="791" priority="227">
      <formula>$E406=17</formula>
    </cfRule>
    <cfRule type="expression" dxfId="790" priority="228">
      <formula>$E406=16</formula>
    </cfRule>
    <cfRule type="expression" dxfId="789" priority="229">
      <formula>$E406=15</formula>
    </cfRule>
    <cfRule type="expression" dxfId="788" priority="230">
      <formula>$E406=14</formula>
    </cfRule>
    <cfRule type="expression" dxfId="787" priority="231">
      <formula>$E406=13</formula>
    </cfRule>
    <cfRule type="expression" dxfId="786" priority="232">
      <formula>$E406=12</formula>
    </cfRule>
  </conditionalFormatting>
  <conditionalFormatting sqref="A407:F407">
    <cfRule type="expression" dxfId="785" priority="207">
      <formula>$E407&lt;12</formula>
    </cfRule>
    <cfRule type="expression" dxfId="784" priority="208">
      <formula>$E407=18</formula>
    </cfRule>
    <cfRule type="expression" dxfId="783" priority="209">
      <formula>$E407=17</formula>
    </cfRule>
    <cfRule type="expression" dxfId="782" priority="210">
      <formula>$E407=16</formula>
    </cfRule>
    <cfRule type="expression" dxfId="781" priority="211">
      <formula>$E407=15</formula>
    </cfRule>
    <cfRule type="expression" dxfId="780" priority="212">
      <formula>$E407=14</formula>
    </cfRule>
    <cfRule type="expression" dxfId="779" priority="213">
      <formula>$E407=13</formula>
    </cfRule>
    <cfRule type="expression" dxfId="778" priority="214">
      <formula>$E407=12</formula>
    </cfRule>
  </conditionalFormatting>
  <conditionalFormatting sqref="A407:F407">
    <cfRule type="expression" dxfId="777" priority="198">
      <formula>$E407=10</formula>
    </cfRule>
    <cfRule type="expression" dxfId="776" priority="199">
      <formula>$E407=11</formula>
    </cfRule>
    <cfRule type="expression" dxfId="775" priority="200">
      <formula>$E407=18</formula>
    </cfRule>
    <cfRule type="expression" dxfId="774" priority="201">
      <formula>$E407=17</formula>
    </cfRule>
    <cfRule type="expression" dxfId="773" priority="202">
      <formula>$E407=16</formula>
    </cfRule>
    <cfRule type="expression" dxfId="772" priority="203">
      <formula>$E407=15</formula>
    </cfRule>
    <cfRule type="expression" dxfId="771" priority="204">
      <formula>$E407=14</formula>
    </cfRule>
    <cfRule type="expression" dxfId="770" priority="205">
      <formula>$E407=13</formula>
    </cfRule>
    <cfRule type="expression" dxfId="769" priority="206">
      <formula>$E407=12</formula>
    </cfRule>
  </conditionalFormatting>
  <conditionalFormatting sqref="L407:M407">
    <cfRule type="expression" dxfId="768" priority="190">
      <formula>$E407&lt;12</formula>
    </cfRule>
    <cfRule type="expression" dxfId="767" priority="191">
      <formula>$E407=18</formula>
    </cfRule>
    <cfRule type="expression" dxfId="766" priority="192">
      <formula>$E407=17</formula>
    </cfRule>
    <cfRule type="expression" dxfId="765" priority="193">
      <formula>$E407=16</formula>
    </cfRule>
    <cfRule type="expression" dxfId="764" priority="194">
      <formula>$E407=15</formula>
    </cfRule>
    <cfRule type="expression" dxfId="763" priority="195">
      <formula>$E407=14</formula>
    </cfRule>
    <cfRule type="expression" dxfId="762" priority="196">
      <formula>$E407=13</formula>
    </cfRule>
    <cfRule type="expression" dxfId="761" priority="197">
      <formula>$E407=12</formula>
    </cfRule>
  </conditionalFormatting>
  <conditionalFormatting sqref="L407:M407">
    <cfRule type="expression" dxfId="760" priority="181">
      <formula>$E407=10</formula>
    </cfRule>
    <cfRule type="expression" dxfId="759" priority="182">
      <formula>$E407=11</formula>
    </cfRule>
    <cfRule type="expression" dxfId="758" priority="183">
      <formula>$E407=18</formula>
    </cfRule>
    <cfRule type="expression" dxfId="757" priority="184">
      <formula>$E407=17</formula>
    </cfRule>
    <cfRule type="expression" dxfId="756" priority="185">
      <formula>$E407=16</formula>
    </cfRule>
    <cfRule type="expression" dxfId="755" priority="186">
      <formula>$E407=15</formula>
    </cfRule>
    <cfRule type="expression" dxfId="754" priority="187">
      <formula>$E407=14</formula>
    </cfRule>
    <cfRule type="expression" dxfId="753" priority="188">
      <formula>$E407=13</formula>
    </cfRule>
    <cfRule type="expression" dxfId="752" priority="189">
      <formula>$E407=12</formula>
    </cfRule>
  </conditionalFormatting>
  <conditionalFormatting sqref="K407">
    <cfRule type="expression" dxfId="751" priority="155">
      <formula>$E407=10</formula>
    </cfRule>
    <cfRule type="expression" dxfId="750" priority="156">
      <formula>$E407=11</formula>
    </cfRule>
    <cfRule type="expression" dxfId="749" priority="157">
      <formula>$E407=18</formula>
    </cfRule>
    <cfRule type="expression" dxfId="748" priority="158">
      <formula>$E407=17</formula>
    </cfRule>
    <cfRule type="expression" dxfId="747" priority="159">
      <formula>$E407=16</formula>
    </cfRule>
    <cfRule type="expression" dxfId="746" priority="160">
      <formula>$E407=15</formula>
    </cfRule>
    <cfRule type="expression" dxfId="745" priority="161">
      <formula>$E407=14</formula>
    </cfRule>
    <cfRule type="expression" dxfId="744" priority="162">
      <formula>$E407=13</formula>
    </cfRule>
    <cfRule type="expression" dxfId="743" priority="163">
      <formula>$E407=12</formula>
    </cfRule>
  </conditionalFormatting>
  <conditionalFormatting sqref="K407">
    <cfRule type="expression" dxfId="742" priority="173">
      <formula>$E407&lt;12</formula>
    </cfRule>
    <cfRule type="expression" dxfId="741" priority="174">
      <formula>$E407=18</formula>
    </cfRule>
    <cfRule type="expression" dxfId="740" priority="175">
      <formula>$E407=17</formula>
    </cfRule>
    <cfRule type="expression" dxfId="739" priority="176">
      <formula>$E407=16</formula>
    </cfRule>
    <cfRule type="expression" dxfId="738" priority="177">
      <formula>$E407=15</formula>
    </cfRule>
    <cfRule type="expression" dxfId="737" priority="178">
      <formula>$E407=14</formula>
    </cfRule>
    <cfRule type="expression" dxfId="736" priority="179">
      <formula>$E407=13</formula>
    </cfRule>
    <cfRule type="expression" dxfId="735" priority="180">
      <formula>$E407=12</formula>
    </cfRule>
  </conditionalFormatting>
  <conditionalFormatting sqref="K407">
    <cfRule type="expression" dxfId="734" priority="164">
      <formula>$E407=10</formula>
    </cfRule>
    <cfRule type="expression" dxfId="733" priority="165">
      <formula>$E407=11</formula>
    </cfRule>
    <cfRule type="expression" dxfId="732" priority="166">
      <formula>$E407=18</formula>
    </cfRule>
    <cfRule type="expression" dxfId="731" priority="167">
      <formula>$E407=17</formula>
    </cfRule>
    <cfRule type="expression" dxfId="730" priority="168">
      <formula>$E407=16</formula>
    </cfRule>
    <cfRule type="expression" dxfId="729" priority="169">
      <formula>$E407=15</formula>
    </cfRule>
    <cfRule type="expression" dxfId="728" priority="170">
      <formula>$E407=14</formula>
    </cfRule>
    <cfRule type="expression" dxfId="727" priority="171">
      <formula>$E407=13</formula>
    </cfRule>
    <cfRule type="expression" dxfId="726" priority="172">
      <formula>$E407=12</formula>
    </cfRule>
  </conditionalFormatting>
  <conditionalFormatting sqref="J407">
    <cfRule type="expression" dxfId="725" priority="147">
      <formula>$E407&lt;12</formula>
    </cfRule>
    <cfRule type="expression" dxfId="724" priority="148">
      <formula>$E407=18</formula>
    </cfRule>
    <cfRule type="expression" dxfId="723" priority="149">
      <formula>$E407=17</formula>
    </cfRule>
    <cfRule type="expression" dxfId="722" priority="150">
      <formula>$E407=16</formula>
    </cfRule>
    <cfRule type="expression" dxfId="721" priority="151">
      <formula>$E407=15</formula>
    </cfRule>
    <cfRule type="expression" dxfId="720" priority="152">
      <formula>$E407=14</formula>
    </cfRule>
    <cfRule type="expression" dxfId="719" priority="153">
      <formula>$E407=13</formula>
    </cfRule>
    <cfRule type="expression" dxfId="718" priority="154">
      <formula>$E407=12</formula>
    </cfRule>
  </conditionalFormatting>
  <conditionalFormatting sqref="J407">
    <cfRule type="expression" dxfId="717" priority="138">
      <formula>$E407=10</formula>
    </cfRule>
    <cfRule type="expression" dxfId="716" priority="139">
      <formula>$E407=11</formula>
    </cfRule>
    <cfRule type="expression" dxfId="715" priority="140">
      <formula>$E407=18</formula>
    </cfRule>
    <cfRule type="expression" dxfId="714" priority="141">
      <formula>$E407=17</formula>
    </cfRule>
    <cfRule type="expression" dxfId="713" priority="142">
      <formula>$E407=16</formula>
    </cfRule>
    <cfRule type="expression" dxfId="712" priority="143">
      <formula>$E407=15</formula>
    </cfRule>
    <cfRule type="expression" dxfId="711" priority="144">
      <formula>$E407=14</formula>
    </cfRule>
    <cfRule type="expression" dxfId="710" priority="145">
      <formula>$E407=13</formula>
    </cfRule>
    <cfRule type="expression" dxfId="709" priority="146">
      <formula>$E407=12</formula>
    </cfRule>
  </conditionalFormatting>
  <conditionalFormatting sqref="A408:F408">
    <cfRule type="expression" dxfId="708" priority="130">
      <formula>$E408&lt;12</formula>
    </cfRule>
    <cfRule type="expression" dxfId="707" priority="131">
      <formula>$E408=18</formula>
    </cfRule>
    <cfRule type="expression" dxfId="706" priority="132">
      <formula>$E408=17</formula>
    </cfRule>
    <cfRule type="expression" dxfId="705" priority="133">
      <formula>$E408=16</formula>
    </cfRule>
    <cfRule type="expression" dxfId="704" priority="134">
      <formula>$E408=15</formula>
    </cfRule>
    <cfRule type="expression" dxfId="703" priority="135">
      <formula>$E408=14</formula>
    </cfRule>
    <cfRule type="expression" dxfId="702" priority="136">
      <formula>$E408=13</formula>
    </cfRule>
    <cfRule type="expression" dxfId="701" priority="137">
      <formula>$E408=12</formula>
    </cfRule>
  </conditionalFormatting>
  <conditionalFormatting sqref="A408:F408">
    <cfRule type="expression" dxfId="700" priority="121">
      <formula>$E408=10</formula>
    </cfRule>
    <cfRule type="expression" dxfId="699" priority="122">
      <formula>$E408=11</formula>
    </cfRule>
    <cfRule type="expression" dxfId="698" priority="123">
      <formula>$E408=18</formula>
    </cfRule>
    <cfRule type="expression" dxfId="697" priority="124">
      <formula>$E408=17</formula>
    </cfRule>
    <cfRule type="expression" dxfId="696" priority="125">
      <formula>$E408=16</formula>
    </cfRule>
    <cfRule type="expression" dxfId="695" priority="126">
      <formula>$E408=15</formula>
    </cfRule>
    <cfRule type="expression" dxfId="694" priority="127">
      <formula>$E408=14</formula>
    </cfRule>
    <cfRule type="expression" dxfId="693" priority="128">
      <formula>$E408=13</formula>
    </cfRule>
    <cfRule type="expression" dxfId="692" priority="129">
      <formula>$E408=12</formula>
    </cfRule>
  </conditionalFormatting>
  <conditionalFormatting sqref="L408:M408">
    <cfRule type="expression" dxfId="691" priority="113">
      <formula>$E408&lt;12</formula>
    </cfRule>
    <cfRule type="expression" dxfId="690" priority="114">
      <formula>$E408=18</formula>
    </cfRule>
    <cfRule type="expression" dxfId="689" priority="115">
      <formula>$E408=17</formula>
    </cfRule>
    <cfRule type="expression" dxfId="688" priority="116">
      <formula>$E408=16</formula>
    </cfRule>
    <cfRule type="expression" dxfId="687" priority="117">
      <formula>$E408=15</formula>
    </cfRule>
    <cfRule type="expression" dxfId="686" priority="118">
      <formula>$E408=14</formula>
    </cfRule>
    <cfRule type="expression" dxfId="685" priority="119">
      <formula>$E408=13</formula>
    </cfRule>
    <cfRule type="expression" dxfId="684" priority="120">
      <formula>$E408=12</formula>
    </cfRule>
  </conditionalFormatting>
  <conditionalFormatting sqref="L408:M408">
    <cfRule type="expression" dxfId="683" priority="104">
      <formula>$E408=10</formula>
    </cfRule>
    <cfRule type="expression" dxfId="682" priority="105">
      <formula>$E408=11</formula>
    </cfRule>
    <cfRule type="expression" dxfId="681" priority="106">
      <formula>$E408=18</formula>
    </cfRule>
    <cfRule type="expression" dxfId="680" priority="107">
      <formula>$E408=17</formula>
    </cfRule>
    <cfRule type="expression" dxfId="679" priority="108">
      <formula>$E408=16</formula>
    </cfRule>
    <cfRule type="expression" dxfId="678" priority="109">
      <formula>$E408=15</formula>
    </cfRule>
    <cfRule type="expression" dxfId="677" priority="110">
      <formula>$E408=14</formula>
    </cfRule>
    <cfRule type="expression" dxfId="676" priority="111">
      <formula>$E408=13</formula>
    </cfRule>
    <cfRule type="expression" dxfId="675" priority="112">
      <formula>$E408=12</formula>
    </cfRule>
  </conditionalFormatting>
  <conditionalFormatting sqref="K408">
    <cfRule type="expression" dxfId="674" priority="78">
      <formula>$E408=10</formula>
    </cfRule>
    <cfRule type="expression" dxfId="673" priority="79">
      <formula>$E408=11</formula>
    </cfRule>
    <cfRule type="expression" dxfId="672" priority="80">
      <formula>$E408=18</formula>
    </cfRule>
    <cfRule type="expression" dxfId="671" priority="81">
      <formula>$E408=17</formula>
    </cfRule>
    <cfRule type="expression" dxfId="670" priority="82">
      <formula>$E408=16</formula>
    </cfRule>
    <cfRule type="expression" dxfId="669" priority="83">
      <formula>$E408=15</formula>
    </cfRule>
    <cfRule type="expression" dxfId="668" priority="84">
      <formula>$E408=14</formula>
    </cfRule>
    <cfRule type="expression" dxfId="667" priority="85">
      <formula>$E408=13</formula>
    </cfRule>
    <cfRule type="expression" dxfId="666" priority="86">
      <formula>$E408=12</formula>
    </cfRule>
  </conditionalFormatting>
  <conditionalFormatting sqref="K408">
    <cfRule type="expression" dxfId="665" priority="96">
      <formula>$E408&lt;12</formula>
    </cfRule>
    <cfRule type="expression" dxfId="664" priority="97">
      <formula>$E408=18</formula>
    </cfRule>
    <cfRule type="expression" dxfId="663" priority="98">
      <formula>$E408=17</formula>
    </cfRule>
    <cfRule type="expression" dxfId="662" priority="99">
      <formula>$E408=16</formula>
    </cfRule>
    <cfRule type="expression" dxfId="661" priority="100">
      <formula>$E408=15</formula>
    </cfRule>
    <cfRule type="expression" dxfId="660" priority="101">
      <formula>$E408=14</formula>
    </cfRule>
    <cfRule type="expression" dxfId="659" priority="102">
      <formula>$E408=13</formula>
    </cfRule>
    <cfRule type="expression" dxfId="658" priority="103">
      <formula>$E408=12</formula>
    </cfRule>
  </conditionalFormatting>
  <conditionalFormatting sqref="K408">
    <cfRule type="expression" dxfId="657" priority="87">
      <formula>$E408=10</formula>
    </cfRule>
    <cfRule type="expression" dxfId="656" priority="88">
      <formula>$E408=11</formula>
    </cfRule>
    <cfRule type="expression" dxfId="655" priority="89">
      <formula>$E408=18</formula>
    </cfRule>
    <cfRule type="expression" dxfId="654" priority="90">
      <formula>$E408=17</formula>
    </cfRule>
    <cfRule type="expression" dxfId="653" priority="91">
      <formula>$E408=16</formula>
    </cfRule>
    <cfRule type="expression" dxfId="652" priority="92">
      <formula>$E408=15</formula>
    </cfRule>
    <cfRule type="expression" dxfId="651" priority="93">
      <formula>$E408=14</formula>
    </cfRule>
    <cfRule type="expression" dxfId="650" priority="94">
      <formula>$E408=13</formula>
    </cfRule>
    <cfRule type="expression" dxfId="649" priority="95">
      <formula>$E408=12</formula>
    </cfRule>
  </conditionalFormatting>
  <conditionalFormatting sqref="AJ411:XFD424 G411:J424 N411:AG424">
    <cfRule type="expression" dxfId="648" priority="70">
      <formula>$E411&lt;12</formula>
    </cfRule>
    <cfRule type="expression" dxfId="647" priority="71">
      <formula>$E411=18</formula>
    </cfRule>
    <cfRule type="expression" dxfId="646" priority="72">
      <formula>$E411=17</formula>
    </cfRule>
    <cfRule type="expression" dxfId="645" priority="73">
      <formula>$E411=16</formula>
    </cfRule>
    <cfRule type="expression" dxfId="644" priority="74">
      <formula>$E411=15</formula>
    </cfRule>
    <cfRule type="expression" dxfId="643" priority="75">
      <formula>$E411=14</formula>
    </cfRule>
    <cfRule type="expression" dxfId="642" priority="76">
      <formula>$E411=13</formula>
    </cfRule>
    <cfRule type="expression" dxfId="641" priority="77">
      <formula>$E411=12</formula>
    </cfRule>
  </conditionalFormatting>
  <conditionalFormatting sqref="AJ411:XFD424 G411:J424 N411:AG424">
    <cfRule type="expression" dxfId="640" priority="61">
      <formula>$E411=10</formula>
    </cfRule>
    <cfRule type="expression" dxfId="639" priority="62">
      <formula>$E411=11</formula>
    </cfRule>
    <cfRule type="expression" dxfId="638" priority="63">
      <formula>$E411=18</formula>
    </cfRule>
    <cfRule type="expression" dxfId="637" priority="64">
      <formula>$E411=17</formula>
    </cfRule>
    <cfRule type="expression" dxfId="636" priority="65">
      <formula>$E411=16</formula>
    </cfRule>
    <cfRule type="expression" dxfId="635" priority="66">
      <formula>$E411=15</formula>
    </cfRule>
    <cfRule type="expression" dxfId="634" priority="67">
      <formula>$E411=14</formula>
    </cfRule>
    <cfRule type="expression" dxfId="633" priority="68">
      <formula>$E411=13</formula>
    </cfRule>
    <cfRule type="expression" dxfId="632" priority="69">
      <formula>$E411=12</formula>
    </cfRule>
  </conditionalFormatting>
  <conditionalFormatting sqref="A411:F424">
    <cfRule type="expression" dxfId="631" priority="53">
      <formula>$E411&lt;12</formula>
    </cfRule>
    <cfRule type="expression" dxfId="630" priority="54">
      <formula>$E411=18</formula>
    </cfRule>
    <cfRule type="expression" dxfId="629" priority="55">
      <formula>$E411=17</formula>
    </cfRule>
    <cfRule type="expression" dxfId="628" priority="56">
      <formula>$E411=16</formula>
    </cfRule>
    <cfRule type="expression" dxfId="627" priority="57">
      <formula>$E411=15</formula>
    </cfRule>
    <cfRule type="expression" dxfId="626" priority="58">
      <formula>$E411=14</formula>
    </cfRule>
    <cfRule type="expression" dxfId="625" priority="59">
      <formula>$E411=13</formula>
    </cfRule>
    <cfRule type="expression" dxfId="624" priority="60">
      <formula>$E411=12</formula>
    </cfRule>
  </conditionalFormatting>
  <conditionalFormatting sqref="A411:F424">
    <cfRule type="expression" dxfId="623" priority="44">
      <formula>$E411=10</formula>
    </cfRule>
    <cfRule type="expression" dxfId="622" priority="45">
      <formula>$E411=11</formula>
    </cfRule>
    <cfRule type="expression" dxfId="621" priority="46">
      <formula>$E411=18</formula>
    </cfRule>
    <cfRule type="expression" dxfId="620" priority="47">
      <formula>$E411=17</formula>
    </cfRule>
    <cfRule type="expression" dxfId="619" priority="48">
      <formula>$E411=16</formula>
    </cfRule>
    <cfRule type="expression" dxfId="618" priority="49">
      <formula>$E411=15</formula>
    </cfRule>
    <cfRule type="expression" dxfId="617" priority="50">
      <formula>$E411=14</formula>
    </cfRule>
    <cfRule type="expression" dxfId="616" priority="51">
      <formula>$E411=13</formula>
    </cfRule>
    <cfRule type="expression" dxfId="615" priority="52">
      <formula>$E411=12</formula>
    </cfRule>
  </conditionalFormatting>
  <conditionalFormatting sqref="L411:M424">
    <cfRule type="expression" dxfId="614" priority="36">
      <formula>$E411&lt;12</formula>
    </cfRule>
    <cfRule type="expression" dxfId="613" priority="37">
      <formula>$E411=18</formula>
    </cfRule>
    <cfRule type="expression" dxfId="612" priority="38">
      <formula>$E411=17</formula>
    </cfRule>
    <cfRule type="expression" dxfId="611" priority="39">
      <formula>$E411=16</formula>
    </cfRule>
    <cfRule type="expression" dxfId="610" priority="40">
      <formula>$E411=15</formula>
    </cfRule>
    <cfRule type="expression" dxfId="609" priority="41">
      <formula>$E411=14</formula>
    </cfRule>
    <cfRule type="expression" dxfId="608" priority="42">
      <formula>$E411=13</formula>
    </cfRule>
    <cfRule type="expression" dxfId="607" priority="43">
      <formula>$E411=12</formula>
    </cfRule>
  </conditionalFormatting>
  <conditionalFormatting sqref="L411:M424">
    <cfRule type="expression" dxfId="606" priority="27">
      <formula>$E411=10</formula>
    </cfRule>
    <cfRule type="expression" dxfId="605" priority="28">
      <formula>$E411=11</formula>
    </cfRule>
    <cfRule type="expression" dxfId="604" priority="29">
      <formula>$E411=18</formula>
    </cfRule>
    <cfRule type="expression" dxfId="603" priority="30">
      <formula>$E411=17</formula>
    </cfRule>
    <cfRule type="expression" dxfId="602" priority="31">
      <formula>$E411=16</formula>
    </cfRule>
    <cfRule type="expression" dxfId="601" priority="32">
      <formula>$E411=15</formula>
    </cfRule>
    <cfRule type="expression" dxfId="600" priority="33">
      <formula>$E411=14</formula>
    </cfRule>
    <cfRule type="expression" dxfId="599" priority="34">
      <formula>$E411=13</formula>
    </cfRule>
    <cfRule type="expression" dxfId="598" priority="35">
      <formula>$E411=12</formula>
    </cfRule>
  </conditionalFormatting>
  <conditionalFormatting sqref="K411:K424">
    <cfRule type="expression" dxfId="597" priority="19">
      <formula>$E411&lt;12</formula>
    </cfRule>
    <cfRule type="expression" dxfId="596" priority="20">
      <formula>$E411=18</formula>
    </cfRule>
    <cfRule type="expression" dxfId="595" priority="21">
      <formula>$E411=17</formula>
    </cfRule>
    <cfRule type="expression" dxfId="594" priority="22">
      <formula>$E411=16</formula>
    </cfRule>
    <cfRule type="expression" dxfId="593" priority="23">
      <formula>$E411=15</formula>
    </cfRule>
    <cfRule type="expression" dxfId="592" priority="24">
      <formula>$E411=14</formula>
    </cfRule>
    <cfRule type="expression" dxfId="591" priority="25">
      <formula>$E411=13</formula>
    </cfRule>
    <cfRule type="expression" dxfId="590" priority="26">
      <formula>$E411=12</formula>
    </cfRule>
  </conditionalFormatting>
  <conditionalFormatting sqref="K411:K424">
    <cfRule type="expression" dxfId="589" priority="10">
      <formula>$E411=10</formula>
    </cfRule>
    <cfRule type="expression" dxfId="588" priority="11">
      <formula>$E411=11</formula>
    </cfRule>
    <cfRule type="expression" dxfId="587" priority="12">
      <formula>$E411=18</formula>
    </cfRule>
    <cfRule type="expression" dxfId="586" priority="13">
      <formula>$E411=17</formula>
    </cfRule>
    <cfRule type="expression" dxfId="585" priority="14">
      <formula>$E411=16</formula>
    </cfRule>
    <cfRule type="expression" dxfId="584" priority="15">
      <formula>$E411=15</formula>
    </cfRule>
    <cfRule type="expression" dxfId="583" priority="16">
      <formula>$E411=14</formula>
    </cfRule>
    <cfRule type="expression" dxfId="582" priority="17">
      <formula>$E411=13</formula>
    </cfRule>
    <cfRule type="expression" dxfId="581" priority="18">
      <formula>$E411=12</formula>
    </cfRule>
  </conditionalFormatting>
  <hyperlinks>
    <hyperlink ref="I353" r:id="rId1" display="https://aes1.advancedeventsystems.com/Event/Volleyball/EventTeamInfo.aspx?ZCruShzPjMGv6cuivzEZ3bdHnxan7utPe-38b2URl8mzU62jttSjG3kENzzLrFO5DJ2gC4tYCpITNOPe7kWQLp22OSbVlCGBuLUYcUJcvMs1mfXaIumiL4opmJlO0to20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4"/>
  <sheetViews>
    <sheetView workbookViewId="0">
      <selection activeCell="L33" sqref="L33"/>
    </sheetView>
  </sheetViews>
  <sheetFormatPr defaultColWidth="9.109375" defaultRowHeight="14.4" x14ac:dyDescent="0.3"/>
  <cols>
    <col min="1" max="1" width="5.44140625" style="85" customWidth="1"/>
    <col min="2" max="2" width="2" style="85" customWidth="1"/>
    <col min="3" max="3" width="3" style="85" customWidth="1"/>
    <col min="4" max="4" width="5.33203125" style="85" customWidth="1"/>
    <col min="5" max="5" width="4.44140625" style="85" customWidth="1"/>
    <col min="6" max="6" width="7.109375" style="85" customWidth="1"/>
    <col min="7" max="7" width="13.88671875" style="85" customWidth="1"/>
    <col min="8" max="8" width="36.88671875" style="85" customWidth="1"/>
    <col min="9" max="9" width="28.44140625" style="85" customWidth="1"/>
    <col min="10" max="10" width="5.6640625" style="85" customWidth="1"/>
    <col min="11" max="11" width="13.88671875" style="86" customWidth="1"/>
    <col min="12" max="12" width="5" style="85" customWidth="1"/>
    <col min="13" max="13" width="10" style="86" customWidth="1"/>
    <col min="14" max="27" width="7.5546875" style="85" customWidth="1"/>
    <col min="28" max="33" width="9.109375" style="85"/>
    <col min="34" max="35" width="12" customWidth="1"/>
    <col min="36" max="16384" width="9.109375" style="85"/>
  </cols>
  <sheetData>
    <row r="1" spans="1:27" ht="28.8" x14ac:dyDescent="0.3">
      <c r="A1" s="299" t="s">
        <v>135</v>
      </c>
      <c r="C1" s="85" t="s">
        <v>136</v>
      </c>
      <c r="D1" s="85" t="s">
        <v>137</v>
      </c>
      <c r="E1" s="85" t="s">
        <v>15</v>
      </c>
      <c r="F1" s="85" t="s">
        <v>471</v>
      </c>
      <c r="G1" s="85" t="s">
        <v>472</v>
      </c>
      <c r="H1" s="85" t="s">
        <v>138</v>
      </c>
      <c r="I1" s="85" t="s">
        <v>8</v>
      </c>
      <c r="J1" s="85" t="s">
        <v>139</v>
      </c>
      <c r="K1" s="86" t="s">
        <v>140</v>
      </c>
      <c r="M1" s="86" t="s">
        <v>96</v>
      </c>
      <c r="N1" s="300" t="s">
        <v>473</v>
      </c>
      <c r="O1" s="300" t="s">
        <v>474</v>
      </c>
      <c r="P1" s="300" t="s">
        <v>475</v>
      </c>
      <c r="Q1" s="300" t="s">
        <v>476</v>
      </c>
      <c r="R1" s="300" t="s">
        <v>477</v>
      </c>
      <c r="S1" s="300" t="s">
        <v>478</v>
      </c>
      <c r="T1" s="300" t="s">
        <v>479</v>
      </c>
      <c r="U1" s="300" t="s">
        <v>480</v>
      </c>
      <c r="V1" s="300" t="s">
        <v>481</v>
      </c>
      <c r="W1" s="300" t="s">
        <v>482</v>
      </c>
      <c r="X1" s="300" t="s">
        <v>483</v>
      </c>
      <c r="Y1" s="300" t="s">
        <v>484</v>
      </c>
      <c r="Z1" s="300" t="s">
        <v>485</v>
      </c>
      <c r="AA1" s="300" t="s">
        <v>486</v>
      </c>
    </row>
    <row r="2" spans="1:27" x14ac:dyDescent="0.3">
      <c r="A2" s="85">
        <v>2</v>
      </c>
      <c r="C2" s="85">
        <f>IF(E2=E1,C1+1,1)</f>
        <v>1</v>
      </c>
      <c r="D2" s="85">
        <f>IF(K2=K1,D1,C2)</f>
        <v>1</v>
      </c>
      <c r="E2" s="85">
        <f>10+VALUE(RIGHT(LEFT(G2,3),1))</f>
        <v>11</v>
      </c>
      <c r="F2" s="85" t="str">
        <f>RIGHT(G2,2) &amp; IF(A2&lt;2,"x","")</f>
        <v>pm</v>
      </c>
      <c r="G2" s="85" t="s">
        <v>141</v>
      </c>
      <c r="H2" s="85" t="s">
        <v>142</v>
      </c>
      <c r="I2" s="85" t="s">
        <v>143</v>
      </c>
      <c r="K2" s="86">
        <f>LOOKUP(1E+100,M2:AB2)</f>
        <v>1545.059815930156</v>
      </c>
      <c r="M2" s="86">
        <v>1600</v>
      </c>
      <c r="P2" s="85">
        <v>1545.059815930156</v>
      </c>
    </row>
    <row r="3" spans="1:27" x14ac:dyDescent="0.3">
      <c r="A3" s="85">
        <v>2</v>
      </c>
      <c r="C3" s="85">
        <f>IF(E3=E2,C2+1,1)</f>
        <v>2</v>
      </c>
      <c r="D3" s="85">
        <f>IF(K3=K2,D2,C3)</f>
        <v>2</v>
      </c>
      <c r="E3" s="85">
        <f>10+VALUE(RIGHT(LEFT(G3,3),1))</f>
        <v>11</v>
      </c>
      <c r="F3" s="85" t="str">
        <f>RIGHT(G3,2) &amp; IF(A3&lt;2,"x","")</f>
        <v>pm</v>
      </c>
      <c r="G3" s="85" t="s">
        <v>487</v>
      </c>
      <c r="H3" s="85" t="s">
        <v>142</v>
      </c>
      <c r="I3" s="85" t="s">
        <v>488</v>
      </c>
      <c r="K3" s="86">
        <f>LOOKUP(1E+100,M3:AB3)</f>
        <v>1493.4578356862332</v>
      </c>
      <c r="M3" s="86">
        <v>1600</v>
      </c>
      <c r="P3" s="85">
        <v>1493.4578356862332</v>
      </c>
    </row>
    <row r="4" spans="1:27" x14ac:dyDescent="0.3">
      <c r="A4" s="85">
        <v>2</v>
      </c>
      <c r="C4" s="85">
        <f>IF(E4=E3,C3+1,1)</f>
        <v>3</v>
      </c>
      <c r="D4" s="85">
        <f>IF(K4=K3,D3,C4)</f>
        <v>3</v>
      </c>
      <c r="E4" s="85">
        <f>10+VALUE(RIGHT(LEFT(G4,3),1))</f>
        <v>11</v>
      </c>
      <c r="F4" s="85" t="str">
        <f>RIGHT(G4,2) &amp; IF(A4&lt;2,"x","")</f>
        <v>pm</v>
      </c>
      <c r="G4" s="301" t="s">
        <v>1064</v>
      </c>
      <c r="H4" s="301" t="s">
        <v>1063</v>
      </c>
      <c r="I4" s="301" t="s">
        <v>207</v>
      </c>
      <c r="K4" s="86">
        <f>LOOKUP(1E+100,M4:AB4)</f>
        <v>1264.7519205331801</v>
      </c>
      <c r="M4" s="86">
        <v>1200</v>
      </c>
      <c r="P4" s="85">
        <v>1264.7519205331801</v>
      </c>
    </row>
    <row r="5" spans="1:27" x14ac:dyDescent="0.3">
      <c r="A5" s="85">
        <v>2</v>
      </c>
      <c r="C5" s="85">
        <f>IF(E5=E4,C4+1,1)</f>
        <v>4</v>
      </c>
      <c r="D5" s="85">
        <f>IF(K5=K4,D4,C5)</f>
        <v>4</v>
      </c>
      <c r="E5" s="85">
        <f>10+VALUE(RIGHT(LEFT(G5,3),1))</f>
        <v>11</v>
      </c>
      <c r="F5" s="85" t="str">
        <f>RIGHT(G5,2) &amp; IF(A5&lt;2,"x","")</f>
        <v>pm</v>
      </c>
      <c r="G5" s="301" t="s">
        <v>1065</v>
      </c>
      <c r="H5" s="301" t="s">
        <v>1063</v>
      </c>
      <c r="I5" s="301" t="s">
        <v>1066</v>
      </c>
      <c r="K5" s="86">
        <f>LOOKUP(1E+100,M5:AB5)</f>
        <v>1237.1306917502143</v>
      </c>
      <c r="M5" s="86">
        <v>1200</v>
      </c>
      <c r="P5" s="85">
        <v>1237.1306917502143</v>
      </c>
    </row>
    <row r="6" spans="1:27" x14ac:dyDescent="0.3">
      <c r="A6" s="85">
        <v>2</v>
      </c>
      <c r="C6" s="85">
        <f>IF(E6=E5,C5+1,1)</f>
        <v>5</v>
      </c>
      <c r="D6" s="85">
        <f>IF(K6=K5,D5,C6)</f>
        <v>5</v>
      </c>
      <c r="E6" s="85">
        <f>10+VALUE(RIGHT(LEFT(G6,3),1))</f>
        <v>11</v>
      </c>
      <c r="F6" s="85" t="str">
        <f>RIGHT(G6,2) &amp; IF(A6&lt;2,"x","")</f>
        <v>pm</v>
      </c>
      <c r="G6" s="301" t="s">
        <v>1062</v>
      </c>
      <c r="H6" s="301" t="s">
        <v>1063</v>
      </c>
      <c r="I6" s="301" t="s">
        <v>40</v>
      </c>
      <c r="K6" s="86">
        <f>LOOKUP(1E+100,M6:AB6)</f>
        <v>1225.0627938110126</v>
      </c>
      <c r="M6" s="86">
        <v>1200</v>
      </c>
      <c r="P6" s="85">
        <v>1225.0627938110126</v>
      </c>
    </row>
    <row r="7" spans="1:27" x14ac:dyDescent="0.3">
      <c r="A7" s="85">
        <v>2</v>
      </c>
      <c r="C7" s="85">
        <f>IF(E7=E6,C6+1,1)</f>
        <v>6</v>
      </c>
      <c r="D7" s="85">
        <f>IF(K7=K6,D6,C7)</f>
        <v>6</v>
      </c>
      <c r="E7" s="85">
        <f>10+VALUE(RIGHT(LEFT(G7,3),1))</f>
        <v>11</v>
      </c>
      <c r="F7" s="85" t="str">
        <f>RIGHT(G7,2) &amp; IF(A7&lt;2,"x","")</f>
        <v>pm</v>
      </c>
      <c r="G7" s="301" t="s">
        <v>1072</v>
      </c>
      <c r="H7" s="301" t="s">
        <v>162</v>
      </c>
      <c r="I7" s="301" t="s">
        <v>1073</v>
      </c>
      <c r="K7" s="86">
        <f>LOOKUP(1E+100,M7:AB7)</f>
        <v>1213.4507817912975</v>
      </c>
      <c r="M7" s="86">
        <v>1200</v>
      </c>
      <c r="P7" s="85">
        <v>1213.4507817912975</v>
      </c>
    </row>
    <row r="8" spans="1:27" x14ac:dyDescent="0.3">
      <c r="A8" s="85">
        <v>2</v>
      </c>
      <c r="C8" s="85">
        <f>IF(E8=E7,C7+1,1)</f>
        <v>7</v>
      </c>
      <c r="D8" s="85">
        <f>IF(K8=K7,D7,C8)</f>
        <v>7</v>
      </c>
      <c r="E8" s="85">
        <f>10+VALUE(RIGHT(LEFT(G8,3),1))</f>
        <v>11</v>
      </c>
      <c r="F8" s="85" t="str">
        <f>RIGHT(G8,2) &amp; IF(A8&lt;2,"x","")</f>
        <v>pm</v>
      </c>
      <c r="G8" s="85" t="s">
        <v>492</v>
      </c>
      <c r="H8" s="85" t="s">
        <v>206</v>
      </c>
      <c r="I8" s="85" t="s">
        <v>493</v>
      </c>
      <c r="K8" s="86">
        <f>LOOKUP(1E+100,M8:AB8)</f>
        <v>1200</v>
      </c>
      <c r="M8" s="86">
        <v>1200</v>
      </c>
    </row>
    <row r="9" spans="1:27" x14ac:dyDescent="0.3">
      <c r="A9" s="85">
        <v>2</v>
      </c>
      <c r="C9" s="85">
        <f>IF(E9=E8,C8+1,1)</f>
        <v>1</v>
      </c>
      <c r="D9" s="85">
        <f>IF(K9=K8,D8,C9)</f>
        <v>1</v>
      </c>
      <c r="E9" s="85">
        <f>10+VALUE(RIGHT(LEFT(G9,3),1))</f>
        <v>12</v>
      </c>
      <c r="F9" s="85" t="str">
        <f>RIGHT(G9,2) &amp; IF(A9&lt;2,"x","")</f>
        <v>pm</v>
      </c>
      <c r="G9" s="85" t="s">
        <v>158</v>
      </c>
      <c r="H9" s="85" t="s">
        <v>159</v>
      </c>
      <c r="I9" s="85" t="s">
        <v>160</v>
      </c>
      <c r="K9" s="86">
        <f>LOOKUP(1E+100,M9:AB9)</f>
        <v>1701.529408586621</v>
      </c>
      <c r="M9" s="86">
        <v>1600</v>
      </c>
      <c r="O9" s="85">
        <v>1701.529408586621</v>
      </c>
    </row>
    <row r="10" spans="1:27" x14ac:dyDescent="0.3">
      <c r="A10" s="85">
        <v>5</v>
      </c>
      <c r="C10" s="85">
        <f>IF(E10=E9,C9+1,1)</f>
        <v>2</v>
      </c>
      <c r="D10" s="85">
        <f>IF(K10=K9,D9,C10)</f>
        <v>2</v>
      </c>
      <c r="E10" s="85">
        <f>10+VALUE(RIGHT(LEFT(G10,3),1))</f>
        <v>12</v>
      </c>
      <c r="F10" s="85" t="str">
        <f>RIGHT(G10,2) &amp; IF(A10&lt;2,"x","")</f>
        <v>pm</v>
      </c>
      <c r="G10" s="85" t="s">
        <v>161</v>
      </c>
      <c r="H10" s="85" t="s">
        <v>497</v>
      </c>
      <c r="I10" s="85" t="s">
        <v>506</v>
      </c>
      <c r="K10" s="86">
        <f>LOOKUP(1E+100,M10:AB10)</f>
        <v>1683.3638657498252</v>
      </c>
      <c r="M10" s="86">
        <v>1520</v>
      </c>
      <c r="P10" s="85">
        <v>1620.0506756248978</v>
      </c>
      <c r="Q10" s="85">
        <v>1633.2494164120533</v>
      </c>
      <c r="R10" s="85">
        <v>1683.3638657498252</v>
      </c>
    </row>
    <row r="11" spans="1:27" x14ac:dyDescent="0.3">
      <c r="A11" s="85">
        <v>2</v>
      </c>
      <c r="C11" s="85">
        <f>IF(E11=E10,C10+1,1)</f>
        <v>3</v>
      </c>
      <c r="D11" s="85">
        <f>IF(K11=K10,D10,C11)</f>
        <v>3</v>
      </c>
      <c r="E11" s="85">
        <f>10+VALUE(RIGHT(LEFT(G11,3),1))</f>
        <v>12</v>
      </c>
      <c r="F11" s="85" t="str">
        <f>RIGHT(G11,2) &amp; IF(A11&lt;2,"x","")</f>
        <v>pm</v>
      </c>
      <c r="G11" s="85" t="s">
        <v>164</v>
      </c>
      <c r="H11" s="85" t="s">
        <v>497</v>
      </c>
      <c r="I11" s="85" t="s">
        <v>498</v>
      </c>
      <c r="K11" s="86">
        <f>LOOKUP(1E+100,M11:AB11)</f>
        <v>1672.0912540760935</v>
      </c>
      <c r="M11" s="86">
        <v>1600</v>
      </c>
      <c r="P11" s="85">
        <v>1672.0912540760935</v>
      </c>
    </row>
    <row r="12" spans="1:27" x14ac:dyDescent="0.3">
      <c r="A12" s="85">
        <v>2</v>
      </c>
      <c r="C12" s="85">
        <f>IF(E12=E11,C11+1,1)</f>
        <v>4</v>
      </c>
      <c r="D12" s="85">
        <f>IF(K12=K11,D11,C12)</f>
        <v>4</v>
      </c>
      <c r="E12" s="85">
        <f>10+VALUE(RIGHT(LEFT(G12,3),1))</f>
        <v>12</v>
      </c>
      <c r="F12" s="85" t="str">
        <f>RIGHT(G12,2) &amp; IF(A12&lt;2,"x","")</f>
        <v>pm</v>
      </c>
      <c r="G12" s="85" t="s">
        <v>499</v>
      </c>
      <c r="H12" s="85" t="s">
        <v>500</v>
      </c>
      <c r="I12" s="85" t="s">
        <v>501</v>
      </c>
      <c r="K12" s="86">
        <f>LOOKUP(1E+100,M12:AB12)</f>
        <v>1600</v>
      </c>
      <c r="M12" s="86">
        <v>1600</v>
      </c>
    </row>
    <row r="13" spans="1:27" x14ac:dyDescent="0.3">
      <c r="A13" s="85">
        <v>5</v>
      </c>
      <c r="C13" s="85">
        <f>IF(E13=E12,C12+1,1)</f>
        <v>5</v>
      </c>
      <c r="D13" s="85">
        <f>IF(K13=K12,D12,C13)</f>
        <v>5</v>
      </c>
      <c r="E13" s="85">
        <f>10+VALUE(RIGHT(LEFT(G13,3),1))</f>
        <v>12</v>
      </c>
      <c r="F13" s="85" t="str">
        <f>RIGHT(G13,2) &amp; IF(A13&lt;2,"x","")</f>
        <v>pm</v>
      </c>
      <c r="G13" s="85" t="s">
        <v>504</v>
      </c>
      <c r="H13" s="85" t="s">
        <v>186</v>
      </c>
      <c r="I13" s="85" t="s">
        <v>505</v>
      </c>
      <c r="K13" s="86">
        <f>LOOKUP(1E+100,M13:AB13)</f>
        <v>1549.4001349386292</v>
      </c>
      <c r="M13" s="86">
        <v>1600</v>
      </c>
      <c r="O13" s="85">
        <v>1579.4211609843667</v>
      </c>
      <c r="Q13" s="85">
        <v>1549.4001349386292</v>
      </c>
    </row>
    <row r="14" spans="1:27" x14ac:dyDescent="0.3">
      <c r="A14" s="85">
        <v>3</v>
      </c>
      <c r="C14" s="85">
        <f>IF(E14=E13,C13+1,1)</f>
        <v>6</v>
      </c>
      <c r="D14" s="85">
        <f>IF(K14=K13,D13,C14)</f>
        <v>6</v>
      </c>
      <c r="E14" s="85">
        <f>10+VALUE(RIGHT(LEFT(G14,3),1))</f>
        <v>12</v>
      </c>
      <c r="F14" s="85" t="str">
        <f>RIGHT(G14,2) &amp; IF(A14&lt;2,"x","")</f>
        <v>pm</v>
      </c>
      <c r="G14" s="85" t="s">
        <v>171</v>
      </c>
      <c r="H14" s="85" t="s">
        <v>144</v>
      </c>
      <c r="I14" s="85" t="s">
        <v>517</v>
      </c>
      <c r="K14" s="86">
        <f>LOOKUP(1E+100,M14:AB14)</f>
        <v>1537.3802077651519</v>
      </c>
      <c r="M14" s="86">
        <v>1400</v>
      </c>
      <c r="N14" s="85">
        <v>1447.5815954545844</v>
      </c>
      <c r="P14" s="85">
        <v>1537.3802077651519</v>
      </c>
    </row>
    <row r="15" spans="1:27" x14ac:dyDescent="0.3">
      <c r="A15" s="85">
        <v>3</v>
      </c>
      <c r="C15" s="85">
        <f>IF(E15=E14,C14+1,1)</f>
        <v>7</v>
      </c>
      <c r="D15" s="85">
        <f>IF(K15=K14,D14,C15)</f>
        <v>7</v>
      </c>
      <c r="E15" s="85">
        <f>10+VALUE(RIGHT(LEFT(G15,3),1))</f>
        <v>12</v>
      </c>
      <c r="F15" s="85" t="str">
        <f>RIGHT(G15,2) &amp; IF(A15&lt;2,"x","")</f>
        <v>pm</v>
      </c>
      <c r="G15" s="85" t="s">
        <v>169</v>
      </c>
      <c r="H15" s="85" t="s">
        <v>144</v>
      </c>
      <c r="I15" s="85" t="s">
        <v>170</v>
      </c>
      <c r="K15" s="86">
        <f>LOOKUP(1E+100,M15:AB15)</f>
        <v>1531.3017091550601</v>
      </c>
      <c r="M15" s="86">
        <v>1400</v>
      </c>
      <c r="N15" s="85">
        <v>1476.3698763802292</v>
      </c>
      <c r="P15" s="85">
        <v>1531.3017091550601</v>
      </c>
    </row>
    <row r="16" spans="1:27" x14ac:dyDescent="0.3">
      <c r="A16" s="85">
        <v>5</v>
      </c>
      <c r="C16" s="85">
        <f>IF(E16=E15,C15+1,1)</f>
        <v>8</v>
      </c>
      <c r="D16" s="85">
        <f>IF(K16=K15,D15,C16)</f>
        <v>8</v>
      </c>
      <c r="E16" s="85">
        <f>10+VALUE(RIGHT(LEFT(G16,3),1))</f>
        <v>12</v>
      </c>
      <c r="F16" s="85" t="str">
        <f>RIGHT(G16,2) &amp; IF(A16&lt;2,"x","")</f>
        <v>pm</v>
      </c>
      <c r="G16" s="85" t="s">
        <v>181</v>
      </c>
      <c r="H16" s="85" t="s">
        <v>182</v>
      </c>
      <c r="I16" s="85" t="s">
        <v>527</v>
      </c>
      <c r="K16" s="86">
        <f>LOOKUP(1E+100,M16:AB16)</f>
        <v>1483.6607809901664</v>
      </c>
      <c r="M16" s="86">
        <v>1400</v>
      </c>
      <c r="N16" s="85">
        <v>1392.0553046168466</v>
      </c>
      <c r="P16" s="85">
        <v>1483.6607809901664</v>
      </c>
    </row>
    <row r="17" spans="1:18" x14ac:dyDescent="0.3">
      <c r="A17" s="85">
        <v>5</v>
      </c>
      <c r="C17" s="85">
        <f>IF(E17=E16,C16+1,1)</f>
        <v>9</v>
      </c>
      <c r="D17" s="85">
        <f>IF(K17=K16,D16,C17)</f>
        <v>9</v>
      </c>
      <c r="E17" s="85">
        <f>10+VALUE(RIGHT(LEFT(G17,3),1))</f>
        <v>12</v>
      </c>
      <c r="F17" s="85" t="str">
        <f>RIGHT(G17,2) &amp; IF(A17&lt;2,"x","")</f>
        <v>pm</v>
      </c>
      <c r="G17" s="85" t="s">
        <v>507</v>
      </c>
      <c r="H17" s="85" t="s">
        <v>497</v>
      </c>
      <c r="I17" s="85" t="s">
        <v>508</v>
      </c>
      <c r="K17" s="86">
        <f>LOOKUP(1E+100,M17:AB17)</f>
        <v>1481.2291901450285</v>
      </c>
      <c r="M17" s="86">
        <v>1520</v>
      </c>
      <c r="P17" s="85">
        <v>1493.8800484266853</v>
      </c>
      <c r="Q17" s="85">
        <v>1481.3819060424257</v>
      </c>
      <c r="R17" s="85">
        <v>1481.2291901450285</v>
      </c>
    </row>
    <row r="18" spans="1:18" x14ac:dyDescent="0.3">
      <c r="A18" s="85">
        <v>5</v>
      </c>
      <c r="C18" s="85">
        <f>IF(E18=E17,C17+1,1)</f>
        <v>10</v>
      </c>
      <c r="D18" s="85">
        <f>IF(K18=K17,D17,C18)</f>
        <v>10</v>
      </c>
      <c r="E18" s="85">
        <f>10+VALUE(RIGHT(LEFT(G18,3),1))</f>
        <v>12</v>
      </c>
      <c r="F18" s="85" t="str">
        <f>RIGHT(G18,2) &amp; IF(A18&lt;2,"x","")</f>
        <v>pm</v>
      </c>
      <c r="G18" s="85" t="s">
        <v>174</v>
      </c>
      <c r="H18" s="85" t="s">
        <v>175</v>
      </c>
      <c r="I18" s="85" t="s">
        <v>523</v>
      </c>
      <c r="K18" s="86">
        <f>LOOKUP(1E+100,M18:AB18)</f>
        <v>1472.1508938896179</v>
      </c>
      <c r="M18" s="86">
        <v>1400</v>
      </c>
      <c r="N18" s="85">
        <v>1462.0140696522083</v>
      </c>
      <c r="P18" s="85">
        <v>1472.1508938896179</v>
      </c>
    </row>
    <row r="19" spans="1:18" x14ac:dyDescent="0.3">
      <c r="A19" s="85">
        <v>2</v>
      </c>
      <c r="C19" s="85">
        <f>IF(E19=E18,C18+1,1)</f>
        <v>11</v>
      </c>
      <c r="D19" s="85">
        <f>IF(K19=K18,D18,C19)</f>
        <v>11</v>
      </c>
      <c r="E19" s="85">
        <f>10+VALUE(RIGHT(LEFT(G19,3),1))</f>
        <v>12</v>
      </c>
      <c r="F19" s="85" t="str">
        <f>RIGHT(G19,2) &amp; IF(A19&lt;2,"x","")</f>
        <v>pm</v>
      </c>
      <c r="G19" s="85" t="s">
        <v>518</v>
      </c>
      <c r="H19" s="85" t="s">
        <v>519</v>
      </c>
      <c r="I19" s="85" t="s">
        <v>520</v>
      </c>
      <c r="K19" s="86">
        <f>LOOKUP(1E+100,M19:AB19)</f>
        <v>1459.5641847293109</v>
      </c>
      <c r="M19" s="86">
        <v>1400</v>
      </c>
      <c r="N19" s="85">
        <v>1350.0578538073637</v>
      </c>
      <c r="R19" s="85">
        <v>1459.5641847293109</v>
      </c>
    </row>
    <row r="20" spans="1:18" x14ac:dyDescent="0.3">
      <c r="A20" s="85">
        <v>7</v>
      </c>
      <c r="C20" s="85">
        <f>IF(E20=E19,C19+1,1)</f>
        <v>12</v>
      </c>
      <c r="D20" s="85">
        <f>IF(K20=K19,D19,C20)</f>
        <v>12</v>
      </c>
      <c r="E20" s="85">
        <f>10+VALUE(RIGHT(LEFT(G20,3),1))</f>
        <v>12</v>
      </c>
      <c r="F20" s="85" t="str">
        <f>RIGHT(G20,2) &amp; IF(A20&lt;2,"x","")</f>
        <v>pm</v>
      </c>
      <c r="G20" s="85" t="s">
        <v>152</v>
      </c>
      <c r="H20" s="85" t="s">
        <v>153</v>
      </c>
      <c r="I20" s="85" t="s">
        <v>530</v>
      </c>
      <c r="K20" s="86">
        <f>LOOKUP(1E+100,M20:AB20)</f>
        <v>1458.1809861607323</v>
      </c>
      <c r="M20" s="86">
        <v>1400</v>
      </c>
      <c r="N20" s="85">
        <v>1334.5199657762885</v>
      </c>
      <c r="P20" s="85">
        <v>1385.9530682556606</v>
      </c>
      <c r="R20" s="85">
        <v>1458.1809861607323</v>
      </c>
    </row>
    <row r="21" spans="1:18" x14ac:dyDescent="0.3">
      <c r="A21" s="85">
        <v>3</v>
      </c>
      <c r="C21" s="85">
        <f>IF(E21=E20,C20+1,1)</f>
        <v>13</v>
      </c>
      <c r="D21" s="85">
        <f>IF(K21=K20,D20,C21)</f>
        <v>13</v>
      </c>
      <c r="E21" s="85">
        <f>10+VALUE(RIGHT(LEFT(G21,3),1))</f>
        <v>12</v>
      </c>
      <c r="F21" s="85" t="str">
        <f>RIGHT(G21,2) &amp; IF(A21&lt;2,"x","")</f>
        <v>pm</v>
      </c>
      <c r="G21" s="85" t="s">
        <v>533</v>
      </c>
      <c r="H21" s="85" t="s">
        <v>534</v>
      </c>
      <c r="I21" s="85" t="s">
        <v>535</v>
      </c>
      <c r="K21" s="86">
        <f>LOOKUP(1E+100,M21:AB21)</f>
        <v>1445.866311589471</v>
      </c>
      <c r="M21" s="86">
        <v>1400</v>
      </c>
      <c r="P21" s="85">
        <v>1445.866311589471</v>
      </c>
    </row>
    <row r="22" spans="1:18" x14ac:dyDescent="0.3">
      <c r="A22" s="85">
        <v>3</v>
      </c>
      <c r="C22" s="85">
        <f>IF(E22=E21,C21+1,1)</f>
        <v>14</v>
      </c>
      <c r="D22" s="85">
        <f>IF(K22=K21,D21,C22)</f>
        <v>14</v>
      </c>
      <c r="E22" s="85">
        <f>10+VALUE(RIGHT(LEFT(G22,3),1))</f>
        <v>12</v>
      </c>
      <c r="F22" s="85" t="str">
        <f>RIGHT(G22,2) &amp; IF(A22&lt;2,"x","")</f>
        <v>pm</v>
      </c>
      <c r="G22" s="85" t="s">
        <v>41</v>
      </c>
      <c r="H22" s="85" t="s">
        <v>167</v>
      </c>
      <c r="I22" s="85" t="s">
        <v>538</v>
      </c>
      <c r="K22" s="86">
        <f>LOOKUP(1E+100,M22:AB22)</f>
        <v>1424.3253801381572</v>
      </c>
      <c r="M22" s="86">
        <v>1400</v>
      </c>
      <c r="P22" s="85">
        <v>1424.3253801381572</v>
      </c>
    </row>
    <row r="23" spans="1:18" x14ac:dyDescent="0.3">
      <c r="A23" s="85">
        <v>6</v>
      </c>
      <c r="C23" s="85">
        <f>IF(E23=E22,C22+1,1)</f>
        <v>15</v>
      </c>
      <c r="D23" s="85">
        <f>IF(K23=K22,D22,C23)</f>
        <v>15</v>
      </c>
      <c r="E23" s="85">
        <f>10+VALUE(RIGHT(LEFT(G23,3),1))</f>
        <v>12</v>
      </c>
      <c r="F23" s="85" t="str">
        <f>RIGHT(G23,2) &amp; IF(A23&lt;2,"x","")</f>
        <v>pm</v>
      </c>
      <c r="G23" s="85" t="s">
        <v>166</v>
      </c>
      <c r="H23" s="85" t="s">
        <v>167</v>
      </c>
      <c r="I23" s="85" t="s">
        <v>168</v>
      </c>
      <c r="K23" s="86">
        <f>LOOKUP(1E+100,M23:AB23)</f>
        <v>1412.9817039109021</v>
      </c>
      <c r="M23" s="86">
        <v>1400</v>
      </c>
      <c r="P23" s="85">
        <v>1368.8186614357858</v>
      </c>
      <c r="R23" s="85">
        <v>1412.9817039109021</v>
      </c>
    </row>
    <row r="24" spans="1:18" x14ac:dyDescent="0.3">
      <c r="A24" s="85">
        <v>6</v>
      </c>
      <c r="C24" s="85">
        <f>IF(E24=E23,C23+1,1)</f>
        <v>16</v>
      </c>
      <c r="D24" s="85">
        <f>IF(K24=K23,D23,C24)</f>
        <v>16</v>
      </c>
      <c r="E24" s="85">
        <f>10+VALUE(RIGHT(LEFT(G24,3),1))</f>
        <v>12</v>
      </c>
      <c r="F24" s="85" t="str">
        <f>RIGHT(G24,2) &amp; IF(A24&lt;2,"x","")</f>
        <v>pm</v>
      </c>
      <c r="G24" s="85" t="s">
        <v>179</v>
      </c>
      <c r="H24" s="85" t="s">
        <v>526</v>
      </c>
      <c r="I24" s="85" t="s">
        <v>180</v>
      </c>
      <c r="K24" s="86">
        <f>LOOKUP(1E+100,M24:AB24)</f>
        <v>1404.990457888367</v>
      </c>
      <c r="M24" s="86">
        <v>1400</v>
      </c>
      <c r="P24" s="85">
        <v>1387.8230506446589</v>
      </c>
      <c r="R24" s="85">
        <v>1404.990457888367</v>
      </c>
    </row>
    <row r="25" spans="1:18" x14ac:dyDescent="0.3">
      <c r="A25" s="85">
        <v>2</v>
      </c>
      <c r="C25" s="85">
        <f>IF(E25=E24,C24+1,1)</f>
        <v>17</v>
      </c>
      <c r="D25" s="85">
        <f>IF(K25=K24,D24,C25)</f>
        <v>17</v>
      </c>
      <c r="E25" s="85">
        <f>10+VALUE(RIGHT(LEFT(G25,3),1))</f>
        <v>12</v>
      </c>
      <c r="F25" s="85" t="str">
        <f>RIGHT(G25,2) &amp; IF(A25&lt;2,"x","")</f>
        <v>pm</v>
      </c>
      <c r="G25" s="85" t="s">
        <v>514</v>
      </c>
      <c r="H25" s="85" t="s">
        <v>515</v>
      </c>
      <c r="I25" s="85" t="s">
        <v>516</v>
      </c>
      <c r="K25" s="86">
        <f>LOOKUP(1E+100,M25:AB25)</f>
        <v>1400</v>
      </c>
      <c r="M25" s="86">
        <v>1400</v>
      </c>
    </row>
    <row r="26" spans="1:18" x14ac:dyDescent="0.3">
      <c r="A26" s="85">
        <v>2</v>
      </c>
      <c r="C26" s="85">
        <f>IF(E26=E25,C25+1,1)</f>
        <v>18</v>
      </c>
      <c r="D26" s="85">
        <f>IF(K26=K25,D25,C26)</f>
        <v>17</v>
      </c>
      <c r="E26" s="85">
        <f>10+VALUE(RIGHT(LEFT(G26,3),1))</f>
        <v>12</v>
      </c>
      <c r="F26" s="85" t="str">
        <f>RIGHT(G26,2) &amp; IF(A26&lt;2,"x","")</f>
        <v>pm</v>
      </c>
      <c r="G26" s="85" t="s">
        <v>541</v>
      </c>
      <c r="H26" s="85" t="s">
        <v>159</v>
      </c>
      <c r="I26" s="85" t="s">
        <v>542</v>
      </c>
      <c r="K26" s="86">
        <f>LOOKUP(1E+100,M26:AB26)</f>
        <v>1400</v>
      </c>
      <c r="M26" s="86">
        <v>1400</v>
      </c>
    </row>
    <row r="27" spans="1:18" x14ac:dyDescent="0.3">
      <c r="A27" s="85">
        <v>4</v>
      </c>
      <c r="C27" s="85">
        <f>IF(E27=E26,C26+1,1)</f>
        <v>19</v>
      </c>
      <c r="D27" s="85">
        <f>IF(K27=K26,D26,C27)</f>
        <v>19</v>
      </c>
      <c r="E27" s="85">
        <f>10+VALUE(RIGHT(LEFT(G27,3),1))</f>
        <v>12</v>
      </c>
      <c r="F27" s="85" t="str">
        <f>RIGHT(G27,2) &amp; IF(A27&lt;2,"x","")</f>
        <v>pm</v>
      </c>
      <c r="G27" s="85" t="s">
        <v>524</v>
      </c>
      <c r="H27" s="85" t="s">
        <v>175</v>
      </c>
      <c r="I27" s="85" t="s">
        <v>525</v>
      </c>
      <c r="K27" s="86">
        <f>LOOKUP(1E+100,M27:AB27)</f>
        <v>1387.5441557026004</v>
      </c>
      <c r="M27" s="86">
        <v>1400</v>
      </c>
      <c r="P27" s="85">
        <v>1387.5441557026004</v>
      </c>
    </row>
    <row r="28" spans="1:18" x14ac:dyDescent="0.3">
      <c r="A28" s="85">
        <v>3</v>
      </c>
      <c r="C28" s="85">
        <f>IF(E28=E27,C27+1,1)</f>
        <v>20</v>
      </c>
      <c r="D28" s="85">
        <f>IF(K28=K27,D27,C28)</f>
        <v>20</v>
      </c>
      <c r="E28" s="85">
        <f>10+VALUE(RIGHT(LEFT(G28,3),1))</f>
        <v>12</v>
      </c>
      <c r="F28" s="85" t="str">
        <f>RIGHT(G28,2) &amp; IF(A28&lt;2,"x","")</f>
        <v>pm</v>
      </c>
      <c r="G28" s="85" t="s">
        <v>509</v>
      </c>
      <c r="H28" s="85" t="s">
        <v>497</v>
      </c>
      <c r="I28" s="85" t="s">
        <v>447</v>
      </c>
      <c r="K28" s="86">
        <f>LOOKUP(1E+100,M28:AB28)</f>
        <v>1376.8957801204724</v>
      </c>
      <c r="M28" s="86">
        <v>1466.6666666666667</v>
      </c>
      <c r="P28" s="85">
        <v>1389.1906269778058</v>
      </c>
      <c r="R28" s="85">
        <v>1376.8957801204724</v>
      </c>
    </row>
    <row r="29" spans="1:18" x14ac:dyDescent="0.3">
      <c r="A29" s="85">
        <v>4</v>
      </c>
      <c r="C29" s="85">
        <f>IF(E29=E28,C28+1,1)</f>
        <v>21</v>
      </c>
      <c r="D29" s="85">
        <f>IF(K29=K28,D28,C29)</f>
        <v>21</v>
      </c>
      <c r="E29" s="85">
        <f>10+VALUE(RIGHT(LEFT(G29,3),1))</f>
        <v>12</v>
      </c>
      <c r="F29" s="85" t="str">
        <f>RIGHT(G29,2) &amp; IF(A29&lt;2,"x","")</f>
        <v>pm</v>
      </c>
      <c r="G29" s="85" t="s">
        <v>521</v>
      </c>
      <c r="H29" s="85" t="s">
        <v>522</v>
      </c>
      <c r="I29" s="85" t="s">
        <v>134</v>
      </c>
      <c r="K29" s="86">
        <f>LOOKUP(1E+100,M29:AB29)</f>
        <v>1375.3096493025091</v>
      </c>
      <c r="M29" s="86">
        <v>1400</v>
      </c>
      <c r="P29" s="85">
        <v>1428.1010048509108</v>
      </c>
      <c r="R29" s="85">
        <v>1375.3096493025091</v>
      </c>
    </row>
    <row r="30" spans="1:18" x14ac:dyDescent="0.3">
      <c r="A30" s="85">
        <v>6</v>
      </c>
      <c r="C30" s="85">
        <f>IF(E30=E29,C29+1,1)</f>
        <v>22</v>
      </c>
      <c r="D30" s="85">
        <f>IF(K30=K29,D29,C30)</f>
        <v>22</v>
      </c>
      <c r="E30" s="85">
        <f>10+VALUE(RIGHT(LEFT(G30,3),1))</f>
        <v>12</v>
      </c>
      <c r="F30" s="85" t="str">
        <f>RIGHT(G30,2) &amp; IF(A30&lt;2,"x","")</f>
        <v>pm</v>
      </c>
      <c r="G30" s="85" t="s">
        <v>176</v>
      </c>
      <c r="H30" s="85" t="s">
        <v>177</v>
      </c>
      <c r="I30" s="85" t="s">
        <v>178</v>
      </c>
      <c r="K30" s="86">
        <f>LOOKUP(1E+100,M30:AB30)</f>
        <v>1359.0770551054006</v>
      </c>
      <c r="M30" s="86">
        <v>1400</v>
      </c>
      <c r="P30" s="85">
        <v>1397.3483492662522</v>
      </c>
      <c r="R30" s="85">
        <v>1359.0770551054006</v>
      </c>
    </row>
    <row r="31" spans="1:18" x14ac:dyDescent="0.3">
      <c r="A31" s="85">
        <v>3</v>
      </c>
      <c r="C31" s="85">
        <f>IF(E31=E30,C30+1,1)</f>
        <v>23</v>
      </c>
      <c r="D31" s="85">
        <f>IF(K31=K30,D30,C31)</f>
        <v>23</v>
      </c>
      <c r="E31" s="85">
        <f>10+VALUE(RIGHT(LEFT(G31,3),1))</f>
        <v>12</v>
      </c>
      <c r="F31" s="85" t="str">
        <f>RIGHT(G31,2) &amp; IF(A31&lt;2,"x","")</f>
        <v>pm</v>
      </c>
      <c r="G31" s="85" t="s">
        <v>173</v>
      </c>
      <c r="H31" s="85" t="s">
        <v>144</v>
      </c>
      <c r="I31" s="85" t="s">
        <v>172</v>
      </c>
      <c r="K31" s="86">
        <f>LOOKUP(1E+100,M31:AB31)</f>
        <v>1357.2341324310933</v>
      </c>
      <c r="M31" s="86">
        <v>1400</v>
      </c>
      <c r="P31" s="85">
        <v>1357.2341324310933</v>
      </c>
    </row>
    <row r="32" spans="1:18" x14ac:dyDescent="0.3">
      <c r="A32" s="85">
        <v>4</v>
      </c>
      <c r="C32" s="85">
        <f>IF(E32=E31,C31+1,1)</f>
        <v>24</v>
      </c>
      <c r="D32" s="85">
        <f>IF(K32=K31,D31,C32)</f>
        <v>24</v>
      </c>
      <c r="E32" s="85">
        <f>10+VALUE(RIGHT(LEFT(G32,3),1))</f>
        <v>12</v>
      </c>
      <c r="F32" s="85" t="str">
        <f>RIGHT(G32,2) &amp; IF(A32&lt;2,"x","")</f>
        <v>pm</v>
      </c>
      <c r="G32" s="85" t="s">
        <v>539</v>
      </c>
      <c r="H32" s="85" t="s">
        <v>500</v>
      </c>
      <c r="I32" s="85" t="s">
        <v>540</v>
      </c>
      <c r="K32" s="86">
        <f>LOOKUP(1E+100,M32:AB32)</f>
        <v>1350.9184048274544</v>
      </c>
      <c r="M32" s="86">
        <v>1400</v>
      </c>
      <c r="P32" s="85">
        <v>1312.5310212754796</v>
      </c>
      <c r="R32" s="85">
        <v>1350.9184048274544</v>
      </c>
    </row>
    <row r="33" spans="1:18" x14ac:dyDescent="0.3">
      <c r="A33" s="85">
        <v>4</v>
      </c>
      <c r="C33" s="85">
        <f>IF(E33=E32,C32+1,1)</f>
        <v>25</v>
      </c>
      <c r="D33" s="85">
        <f>IF(K33=K32,D32,C33)</f>
        <v>25</v>
      </c>
      <c r="E33" s="85">
        <f>10+VALUE(RIGHT(LEFT(G33,3),1))</f>
        <v>12</v>
      </c>
      <c r="F33" s="85" t="str">
        <f>RIGHT(G33,2) &amp; IF(A33&lt;2,"x","")</f>
        <v>pm</v>
      </c>
      <c r="G33" s="85" t="s">
        <v>149</v>
      </c>
      <c r="H33" s="85" t="s">
        <v>150</v>
      </c>
      <c r="I33" s="85" t="s">
        <v>151</v>
      </c>
      <c r="K33" s="86">
        <f>LOOKUP(1E+100,M33:AB33)</f>
        <v>1331.2672489449701</v>
      </c>
      <c r="M33" s="86">
        <v>1400</v>
      </c>
      <c r="R33" s="85">
        <v>1331.2672489449701</v>
      </c>
    </row>
    <row r="34" spans="1:18" x14ac:dyDescent="0.3">
      <c r="A34" s="85">
        <v>4</v>
      </c>
      <c r="C34" s="85">
        <f>IF(E34=E33,C33+1,1)</f>
        <v>26</v>
      </c>
      <c r="D34" s="85">
        <f>IF(K34=K33,D33,C34)</f>
        <v>26</v>
      </c>
      <c r="E34" s="85">
        <f>10+VALUE(RIGHT(LEFT(G34,3),1))</f>
        <v>12</v>
      </c>
      <c r="F34" s="85" t="str">
        <f>RIGHT(G34,2) &amp; IF(A34&lt;2,"x","")</f>
        <v>pm</v>
      </c>
      <c r="G34" s="85" t="s">
        <v>193</v>
      </c>
      <c r="H34" s="85" t="s">
        <v>167</v>
      </c>
      <c r="I34" s="85" t="s">
        <v>207</v>
      </c>
      <c r="K34" s="86">
        <f>LOOKUP(1E+100,M34:AB34)</f>
        <v>1309.2757150235238</v>
      </c>
      <c r="M34" s="86">
        <v>1200</v>
      </c>
      <c r="P34" s="85">
        <v>1298.5668972647138</v>
      </c>
      <c r="R34" s="85">
        <v>1309.2757150235238</v>
      </c>
    </row>
    <row r="35" spans="1:18" x14ac:dyDescent="0.3">
      <c r="A35" s="85">
        <v>2</v>
      </c>
      <c r="C35" s="85">
        <f>IF(E35=E34,C34+1,1)</f>
        <v>27</v>
      </c>
      <c r="D35" s="85">
        <f>IF(K35=K34,D34,C35)</f>
        <v>26</v>
      </c>
      <c r="E35" s="85">
        <f>10+VALUE(RIGHT(LEFT(G35,3),1))</f>
        <v>12</v>
      </c>
      <c r="F35" s="85" t="str">
        <f>RIGHT(G35,2) &amp; IF(A35&lt;2,"x","")</f>
        <v>pm</v>
      </c>
      <c r="G35" s="301" t="s">
        <v>193</v>
      </c>
      <c r="H35" s="301" t="s">
        <v>1063</v>
      </c>
      <c r="I35" s="301" t="s">
        <v>194</v>
      </c>
      <c r="K35" s="86">
        <f>LOOKUP(1E+100,M35:AB35)</f>
        <v>1309.2757150235238</v>
      </c>
      <c r="M35" s="86">
        <v>1200</v>
      </c>
      <c r="P35" s="85">
        <v>1298.5668972647138</v>
      </c>
      <c r="R35" s="85">
        <v>1309.2757150235238</v>
      </c>
    </row>
    <row r="36" spans="1:18" x14ac:dyDescent="0.3">
      <c r="A36" s="85">
        <v>4</v>
      </c>
      <c r="C36" s="85">
        <f>IF(E36=E35,C35+1,1)</f>
        <v>28</v>
      </c>
      <c r="D36" s="85">
        <f>IF(K36=K35,D35,C36)</f>
        <v>28</v>
      </c>
      <c r="E36" s="85">
        <f>10+VALUE(RIGHT(LEFT(G36,3),1))</f>
        <v>12</v>
      </c>
      <c r="F36" s="85" t="str">
        <f>RIGHT(G36,2) &amp; IF(A36&lt;2,"x","")</f>
        <v>pm</v>
      </c>
      <c r="G36" s="85" t="s">
        <v>187</v>
      </c>
      <c r="H36" s="85" t="s">
        <v>150</v>
      </c>
      <c r="I36" s="85" t="s">
        <v>188</v>
      </c>
      <c r="K36" s="86">
        <f>LOOKUP(1E+100,M36:AB36)</f>
        <v>1304.7360573036954</v>
      </c>
      <c r="M36" s="86">
        <v>1400</v>
      </c>
      <c r="R36" s="85">
        <v>1304.7360573036954</v>
      </c>
    </row>
    <row r="37" spans="1:18" x14ac:dyDescent="0.3">
      <c r="A37" s="85">
        <v>3</v>
      </c>
      <c r="C37" s="85">
        <f>IF(E37=E36,C36+1,1)</f>
        <v>29</v>
      </c>
      <c r="D37" s="85">
        <f>IF(K37=K36,D36,C37)</f>
        <v>29</v>
      </c>
      <c r="E37" s="85">
        <f>10+VALUE(RIGHT(LEFT(G37,3),1))</f>
        <v>12</v>
      </c>
      <c r="F37" s="85" t="str">
        <f>RIGHT(G37,2) &amp; IF(A37&lt;2,"x","")</f>
        <v>pm</v>
      </c>
      <c r="G37" s="85" t="s">
        <v>536</v>
      </c>
      <c r="H37" s="85" t="s">
        <v>534</v>
      </c>
      <c r="I37" s="85" t="s">
        <v>537</v>
      </c>
      <c r="K37" s="86">
        <f>LOOKUP(1E+100,M37:AB37)</f>
        <v>1296.9548720074079</v>
      </c>
      <c r="M37" s="86">
        <v>1400</v>
      </c>
      <c r="P37" s="85">
        <v>1296.9548720074079</v>
      </c>
    </row>
    <row r="38" spans="1:18" x14ac:dyDescent="0.3">
      <c r="A38" s="85">
        <v>4</v>
      </c>
      <c r="C38" s="85">
        <f>IF(E38=E37,C37+1,1)</f>
        <v>30</v>
      </c>
      <c r="D38" s="85">
        <f>IF(K38=K37,D37,C38)</f>
        <v>30</v>
      </c>
      <c r="E38" s="85">
        <f>10+VALUE(RIGHT(LEFT(G38,3),1))</f>
        <v>12</v>
      </c>
      <c r="F38" s="85" t="str">
        <f>RIGHT(G38,2) &amp; IF(A38&lt;2,"x","")</f>
        <v>pm</v>
      </c>
      <c r="G38" s="85" t="s">
        <v>557</v>
      </c>
      <c r="H38" s="85" t="s">
        <v>145</v>
      </c>
      <c r="I38" s="85" t="s">
        <v>450</v>
      </c>
      <c r="K38" s="86">
        <f>LOOKUP(1E+100,M38:AB38)</f>
        <v>1254.9815924153156</v>
      </c>
      <c r="M38" s="86">
        <v>1200</v>
      </c>
      <c r="R38" s="85">
        <v>1254.9815924153156</v>
      </c>
    </row>
    <row r="39" spans="1:18" x14ac:dyDescent="0.3">
      <c r="A39" s="85">
        <v>6</v>
      </c>
      <c r="C39" s="85">
        <f>IF(E39=E38,C38+1,1)</f>
        <v>31</v>
      </c>
      <c r="D39" s="85">
        <f>IF(K39=K38,D38,C39)</f>
        <v>31</v>
      </c>
      <c r="E39" s="85">
        <f>10+VALUE(RIGHT(LEFT(G39,3),1))</f>
        <v>12</v>
      </c>
      <c r="F39" s="85" t="str">
        <f>RIGHT(G39,2) &amp; IF(A39&lt;2,"x","")</f>
        <v>pm</v>
      </c>
      <c r="G39" s="85" t="s">
        <v>192</v>
      </c>
      <c r="H39" s="85" t="s">
        <v>186</v>
      </c>
      <c r="I39" s="85" t="s">
        <v>510</v>
      </c>
      <c r="K39" s="86">
        <f>LOOKUP(1E+100,M39:AB39)</f>
        <v>1252.9179429346361</v>
      </c>
      <c r="M39" s="86">
        <v>1433.3333333333333</v>
      </c>
      <c r="P39" s="85">
        <v>1329.272415012241</v>
      </c>
      <c r="R39" s="85">
        <v>1252.9179429346361</v>
      </c>
    </row>
    <row r="40" spans="1:18" x14ac:dyDescent="0.3">
      <c r="A40" s="85">
        <v>2</v>
      </c>
      <c r="C40" s="85">
        <f>IF(E40=E39,C39+1,1)</f>
        <v>32</v>
      </c>
      <c r="D40" s="85">
        <f>IF(K40=K39,D39,C40)</f>
        <v>32</v>
      </c>
      <c r="E40" s="85">
        <f>10+VALUE(RIGHT(LEFT(G40,3),1))</f>
        <v>12</v>
      </c>
      <c r="F40" s="85" t="str">
        <f>RIGHT(G40,2) &amp; IF(A40&lt;2,"x","")</f>
        <v>pm</v>
      </c>
      <c r="G40" s="301" t="s">
        <v>185</v>
      </c>
      <c r="H40" s="301" t="s">
        <v>1080</v>
      </c>
      <c r="I40" s="301" t="s">
        <v>1081</v>
      </c>
      <c r="K40" s="86">
        <f>LOOKUP(1E+100,M40:AB40)</f>
        <v>1233.2107957429735</v>
      </c>
      <c r="M40" s="86">
        <v>1200</v>
      </c>
      <c r="P40" s="85">
        <v>1233.2107957429735</v>
      </c>
    </row>
    <row r="41" spans="1:18" x14ac:dyDescent="0.3">
      <c r="A41" s="85">
        <v>2</v>
      </c>
      <c r="C41" s="85">
        <f>IF(E41=E40,C40+1,1)</f>
        <v>33</v>
      </c>
      <c r="D41" s="85">
        <f>IF(K41=K40,D40,C41)</f>
        <v>33</v>
      </c>
      <c r="E41" s="85">
        <f>10+VALUE(RIGHT(LEFT(G41,3),1))</f>
        <v>12</v>
      </c>
      <c r="F41" s="85" t="str">
        <f>RIGHT(G41,2) &amp; IF(A41&lt;2,"x","")</f>
        <v>pm</v>
      </c>
      <c r="G41" s="85" t="s">
        <v>558</v>
      </c>
      <c r="H41" s="85" t="s">
        <v>182</v>
      </c>
      <c r="I41" s="85" t="s">
        <v>465</v>
      </c>
      <c r="K41" s="86">
        <f>LOOKUP(1E+100,M41:AB41)</f>
        <v>1232.9485890312642</v>
      </c>
      <c r="M41" s="86">
        <v>1200</v>
      </c>
      <c r="R41" s="85">
        <v>1232.9485890312642</v>
      </c>
    </row>
    <row r="42" spans="1:18" x14ac:dyDescent="0.3">
      <c r="A42" s="85">
        <v>3</v>
      </c>
      <c r="C42" s="85">
        <f>IF(E42=E41,C41+1,1)</f>
        <v>34</v>
      </c>
      <c r="D42" s="85">
        <f>IF(K42=K41,D41,C42)</f>
        <v>34</v>
      </c>
      <c r="E42" s="85">
        <f>10+VALUE(RIGHT(LEFT(G42,3),1))</f>
        <v>12</v>
      </c>
      <c r="F42" s="85" t="str">
        <f>RIGHT(G42,2) &amp; IF(A42&lt;2,"x","")</f>
        <v>pm</v>
      </c>
      <c r="G42" s="85" t="s">
        <v>554</v>
      </c>
      <c r="H42" s="85" t="s">
        <v>175</v>
      </c>
      <c r="I42" s="85" t="s">
        <v>455</v>
      </c>
      <c r="K42" s="86">
        <f>LOOKUP(1E+100,M42:AB42)</f>
        <v>1226.3973469482601</v>
      </c>
      <c r="M42" s="86">
        <v>1200</v>
      </c>
      <c r="R42" s="85">
        <v>1226.3973469482601</v>
      </c>
    </row>
    <row r="43" spans="1:18" x14ac:dyDescent="0.3">
      <c r="A43" s="85">
        <v>3</v>
      </c>
      <c r="C43" s="85">
        <f>IF(E43=E42,C42+1,1)</f>
        <v>35</v>
      </c>
      <c r="D43" s="85">
        <f>IF(K43=K42,D42,C43)</f>
        <v>35</v>
      </c>
      <c r="E43" s="85">
        <f>10+VALUE(RIGHT(LEFT(G43,3),1))</f>
        <v>12</v>
      </c>
      <c r="F43" s="85" t="str">
        <f>RIGHT(G43,2) &amp; IF(A43&lt;2,"x","")</f>
        <v>pm</v>
      </c>
      <c r="G43" s="85" t="s">
        <v>548</v>
      </c>
      <c r="H43" s="85" t="s">
        <v>549</v>
      </c>
      <c r="I43" s="85" t="s">
        <v>550</v>
      </c>
      <c r="K43" s="86">
        <f>LOOKUP(1E+100,M43:AB43)</f>
        <v>1223.6919791768021</v>
      </c>
      <c r="M43" s="86">
        <v>1266.6666666666667</v>
      </c>
      <c r="N43" s="85">
        <v>1184.4234246867265</v>
      </c>
      <c r="R43" s="85">
        <v>1223.6919791768021</v>
      </c>
    </row>
    <row r="44" spans="1:18" x14ac:dyDescent="0.3">
      <c r="A44" s="85">
        <v>4</v>
      </c>
      <c r="C44" s="85">
        <f>IF(E44=E43,C43+1,1)</f>
        <v>36</v>
      </c>
      <c r="D44" s="85">
        <f>IF(K44=K43,D43,C44)</f>
        <v>36</v>
      </c>
      <c r="E44" s="85">
        <f>10+VALUE(RIGHT(LEFT(G44,3),1))</f>
        <v>12</v>
      </c>
      <c r="F44" s="85" t="str">
        <f>RIGHT(G44,2) &amp; IF(A44&lt;2,"x","")</f>
        <v>pm</v>
      </c>
      <c r="G44" s="85" t="s">
        <v>555</v>
      </c>
      <c r="H44" s="85" t="s">
        <v>526</v>
      </c>
      <c r="I44" s="85" t="s">
        <v>556</v>
      </c>
      <c r="K44" s="86">
        <f>LOOKUP(1E+100,M44:AB44)</f>
        <v>1209.5998411584437</v>
      </c>
      <c r="M44" s="86">
        <v>1200</v>
      </c>
      <c r="R44" s="85">
        <v>1209.5998411584437</v>
      </c>
    </row>
    <row r="45" spans="1:18" x14ac:dyDescent="0.3">
      <c r="A45" s="85">
        <v>4</v>
      </c>
      <c r="C45" s="85">
        <f>IF(E45=E44,C44+1,1)</f>
        <v>37</v>
      </c>
      <c r="D45" s="85">
        <f>IF(K45=K44,D44,C45)</f>
        <v>37</v>
      </c>
      <c r="E45" s="85">
        <f>10+VALUE(RIGHT(LEFT(G45,3),1))</f>
        <v>12</v>
      </c>
      <c r="F45" s="85" t="str">
        <f>RIGHT(G45,2) &amp; IF(A45&lt;2,"x","")</f>
        <v>pm</v>
      </c>
      <c r="G45" s="85" t="s">
        <v>189</v>
      </c>
      <c r="H45" s="85" t="s">
        <v>167</v>
      </c>
      <c r="I45" s="85" t="s">
        <v>40</v>
      </c>
      <c r="K45" s="86">
        <f>LOOKUP(1E+100,M45:AB45)</f>
        <v>1201.9833075891768</v>
      </c>
      <c r="M45" s="86">
        <v>1200</v>
      </c>
      <c r="P45" s="85">
        <v>1189.1105508037228</v>
      </c>
      <c r="R45" s="85">
        <v>1201.9833075891768</v>
      </c>
    </row>
    <row r="46" spans="1:18" x14ac:dyDescent="0.3">
      <c r="A46" s="85">
        <v>2</v>
      </c>
      <c r="C46" s="85">
        <f>IF(E46=E45,C45+1,1)</f>
        <v>38</v>
      </c>
      <c r="D46" s="85">
        <f>IF(K46=K45,D45,C46)</f>
        <v>38</v>
      </c>
      <c r="E46" s="85">
        <f>10+VALUE(RIGHT(LEFT(G46,3),1))</f>
        <v>12</v>
      </c>
      <c r="F46" s="85" t="str">
        <f>RIGHT(G46,2) &amp; IF(A46&lt;2,"x","")</f>
        <v>pm</v>
      </c>
      <c r="G46" s="85" t="s">
        <v>25</v>
      </c>
      <c r="H46" s="85" t="s">
        <v>144</v>
      </c>
      <c r="I46" s="85" t="s">
        <v>551</v>
      </c>
      <c r="K46" s="86">
        <f>LOOKUP(1E+100,M46:AB46)</f>
        <v>1200</v>
      </c>
      <c r="M46" s="86">
        <v>1200</v>
      </c>
    </row>
    <row r="47" spans="1:18" x14ac:dyDescent="0.3">
      <c r="A47" s="85">
        <v>2</v>
      </c>
      <c r="C47" s="85">
        <f>IF(E47=E46,C46+1,1)</f>
        <v>39</v>
      </c>
      <c r="D47" s="85">
        <f>IF(K47=K46,D46,C47)</f>
        <v>38</v>
      </c>
      <c r="E47" s="85">
        <f>10+VALUE(RIGHT(LEFT(G47,3),1))</f>
        <v>12</v>
      </c>
      <c r="F47" s="85" t="str">
        <f>RIGHT(G47,2) &amp; IF(A47&lt;2,"x","")</f>
        <v>pm</v>
      </c>
      <c r="G47" s="85" t="s">
        <v>23</v>
      </c>
      <c r="H47" s="85" t="s">
        <v>144</v>
      </c>
      <c r="I47" s="85" t="s">
        <v>552</v>
      </c>
      <c r="K47" s="86">
        <f>LOOKUP(1E+100,M47:AB47)</f>
        <v>1200</v>
      </c>
      <c r="M47" s="86">
        <v>1200</v>
      </c>
    </row>
    <row r="48" spans="1:18" x14ac:dyDescent="0.3">
      <c r="A48" s="85">
        <v>2</v>
      </c>
      <c r="C48" s="85">
        <f>IF(E48=E47,C47+1,1)</f>
        <v>40</v>
      </c>
      <c r="D48" s="85">
        <f>IF(K48=K47,D47,C48)</f>
        <v>38</v>
      </c>
      <c r="E48" s="85">
        <f>10+VALUE(RIGHT(LEFT(G48,3),1))</f>
        <v>12</v>
      </c>
      <c r="F48" s="85" t="str">
        <f>RIGHT(G48,2) &amp; IF(A48&lt;2,"x","")</f>
        <v>pm</v>
      </c>
      <c r="G48" s="85" t="s">
        <v>195</v>
      </c>
      <c r="H48" s="85" t="s">
        <v>144</v>
      </c>
      <c r="I48" s="85" t="s">
        <v>553</v>
      </c>
      <c r="K48" s="86">
        <f>LOOKUP(1E+100,M48:AB48)</f>
        <v>1200</v>
      </c>
      <c r="M48" s="86">
        <v>1200</v>
      </c>
    </row>
    <row r="49" spans="1:18" x14ac:dyDescent="0.3">
      <c r="A49" s="85">
        <v>3</v>
      </c>
      <c r="C49" s="85">
        <f>IF(E49=E48,C48+1,1)</f>
        <v>41</v>
      </c>
      <c r="D49" s="85">
        <f>IF(K49=K48,D48,C49)</f>
        <v>38</v>
      </c>
      <c r="E49" s="85">
        <f>10+VALUE(RIGHT(LEFT(G49,3),1))</f>
        <v>12</v>
      </c>
      <c r="F49" s="85" t="str">
        <f>RIGHT(G49,2) &amp; IF(A49&lt;2,"x","")</f>
        <v>pm</v>
      </c>
      <c r="G49" s="85" t="s">
        <v>560</v>
      </c>
      <c r="H49" s="85" t="s">
        <v>235</v>
      </c>
      <c r="I49" s="85" t="s">
        <v>561</v>
      </c>
      <c r="K49" s="86">
        <f>LOOKUP(1E+100,M49:AB49)</f>
        <v>1200</v>
      </c>
      <c r="M49" s="86">
        <v>1200</v>
      </c>
    </row>
    <row r="50" spans="1:18" x14ac:dyDescent="0.3">
      <c r="A50" s="85">
        <v>2</v>
      </c>
      <c r="C50" s="85">
        <f>IF(E50=E49,C49+1,1)</f>
        <v>42</v>
      </c>
      <c r="D50" s="85">
        <f>IF(K50=K49,D49,C50)</f>
        <v>42</v>
      </c>
      <c r="E50" s="85">
        <f>10+VALUE(RIGHT(LEFT(G50,3),1))</f>
        <v>12</v>
      </c>
      <c r="F50" s="85" t="str">
        <f>RIGHT(G50,2) &amp; IF(A50&lt;2,"x","")</f>
        <v>pm</v>
      </c>
      <c r="G50" s="301" t="s">
        <v>1074</v>
      </c>
      <c r="H50" s="301" t="s">
        <v>1075</v>
      </c>
      <c r="I50" s="301" t="s">
        <v>22</v>
      </c>
      <c r="K50" s="86">
        <f>LOOKUP(1E+100,M50:AB50)</f>
        <v>1198.5075103942904</v>
      </c>
      <c r="M50" s="86">
        <v>1200</v>
      </c>
      <c r="P50" s="85">
        <v>1198.5075103942904</v>
      </c>
    </row>
    <row r="51" spans="1:18" x14ac:dyDescent="0.3">
      <c r="A51" s="85">
        <v>2</v>
      </c>
      <c r="C51" s="85">
        <f>IF(E51=E50,C50+1,1)</f>
        <v>43</v>
      </c>
      <c r="D51" s="85">
        <f>IF(K51=K50,D50,C51)</f>
        <v>43</v>
      </c>
      <c r="E51" s="85">
        <f>10+VALUE(RIGHT(LEFT(G51,3),1))</f>
        <v>12</v>
      </c>
      <c r="F51" s="85" t="str">
        <f>RIGHT(G51,2) &amp; IF(A51&lt;2,"x","")</f>
        <v>pm</v>
      </c>
      <c r="G51" s="85" t="s">
        <v>559</v>
      </c>
      <c r="H51" s="85" t="s">
        <v>150</v>
      </c>
      <c r="I51" s="85" t="s">
        <v>463</v>
      </c>
      <c r="K51" s="86">
        <f>LOOKUP(1E+100,M51:AB51)</f>
        <v>1191.5286506498262</v>
      </c>
      <c r="M51" s="86">
        <v>1200</v>
      </c>
      <c r="R51" s="85">
        <v>1191.5286506498262</v>
      </c>
    </row>
    <row r="52" spans="1:18" x14ac:dyDescent="0.3">
      <c r="A52" s="85">
        <v>3</v>
      </c>
      <c r="C52" s="85">
        <f>IF(E52=E51,C51+1,1)</f>
        <v>44</v>
      </c>
      <c r="D52" s="85">
        <f>IF(K52=K51,D51,C52)</f>
        <v>44</v>
      </c>
      <c r="E52" s="85">
        <f>10+VALUE(RIGHT(LEFT(G52,3),1))</f>
        <v>12</v>
      </c>
      <c r="F52" s="85" t="str">
        <f>RIGHT(G52,2) &amp; IF(A52&lt;2,"x","")</f>
        <v>pm</v>
      </c>
      <c r="G52" s="85" t="s">
        <v>190</v>
      </c>
      <c r="H52" s="85" t="s">
        <v>562</v>
      </c>
      <c r="I52" s="85" t="s">
        <v>191</v>
      </c>
      <c r="K52" s="86">
        <f>LOOKUP(1E+100,M52:AB52)</f>
        <v>1176.7200547305524</v>
      </c>
      <c r="M52" s="86">
        <v>1200</v>
      </c>
      <c r="R52" s="85">
        <v>1176.7200547305524</v>
      </c>
    </row>
    <row r="53" spans="1:18" x14ac:dyDescent="0.3">
      <c r="A53" s="85">
        <v>3</v>
      </c>
      <c r="C53" s="85">
        <f>IF(E53=E52,C52+1,1)</f>
        <v>45</v>
      </c>
      <c r="D53" s="85">
        <f>IF(K53=K52,D52,C53)</f>
        <v>45</v>
      </c>
      <c r="E53" s="85">
        <f>10+VALUE(RIGHT(LEFT(G53,3),1))</f>
        <v>12</v>
      </c>
      <c r="F53" s="85" t="str">
        <f>RIGHT(G53,2) &amp; IF(A53&lt;2,"x","")</f>
        <v>pm</v>
      </c>
      <c r="G53" s="85" t="s">
        <v>197</v>
      </c>
      <c r="H53" s="85" t="s">
        <v>182</v>
      </c>
      <c r="I53" s="85" t="s">
        <v>198</v>
      </c>
      <c r="K53" s="86">
        <f>LOOKUP(1E+100,M53:AB53)</f>
        <v>1168.7870094576099</v>
      </c>
      <c r="M53" s="86">
        <v>1200</v>
      </c>
      <c r="P53" s="85">
        <v>1157.2304177245248</v>
      </c>
      <c r="R53" s="85">
        <v>1168.7870094576099</v>
      </c>
    </row>
    <row r="54" spans="1:18" x14ac:dyDescent="0.3">
      <c r="A54" s="85">
        <v>2</v>
      </c>
      <c r="C54" s="85">
        <f>IF(E54=E53,C53+1,1)</f>
        <v>46</v>
      </c>
      <c r="D54" s="85">
        <f>IF(K54=K53,D53,C54)</f>
        <v>45</v>
      </c>
      <c r="E54" s="85">
        <f>10+VALUE(RIGHT(LEFT(G54,3),1))</f>
        <v>12</v>
      </c>
      <c r="F54" s="85" t="str">
        <f>RIGHT(G54,2) &amp; IF(A54&lt;2,"x","")</f>
        <v>pm</v>
      </c>
      <c r="G54" s="301" t="s">
        <v>197</v>
      </c>
      <c r="H54" s="301" t="s">
        <v>1070</v>
      </c>
      <c r="I54" s="301" t="s">
        <v>1071</v>
      </c>
      <c r="K54" s="86">
        <f>LOOKUP(1E+100,M54:AB54)</f>
        <v>1168.7870094576099</v>
      </c>
      <c r="M54" s="86">
        <v>1200</v>
      </c>
      <c r="P54" s="85">
        <v>1157.2304177245248</v>
      </c>
      <c r="R54" s="85">
        <v>1168.7870094576099</v>
      </c>
    </row>
    <row r="55" spans="1:18" x14ac:dyDescent="0.3">
      <c r="A55" s="85">
        <v>2</v>
      </c>
      <c r="C55" s="85">
        <f>IF(E55=E54,C54+1,1)</f>
        <v>47</v>
      </c>
      <c r="D55" s="85">
        <f>IF(K55=K54,D54,C55)</f>
        <v>47</v>
      </c>
      <c r="E55" s="85">
        <f>10+VALUE(RIGHT(LEFT(G55,3),1))</f>
        <v>12</v>
      </c>
      <c r="F55" s="85" t="str">
        <f>RIGHT(G55,2) &amp; IF(A55&lt;2,"x","")</f>
        <v>pm</v>
      </c>
      <c r="G55" s="301" t="s">
        <v>196</v>
      </c>
      <c r="H55" s="301" t="s">
        <v>1078</v>
      </c>
      <c r="I55" s="301" t="s">
        <v>1079</v>
      </c>
      <c r="K55" s="86">
        <f>LOOKUP(1E+100,M55:AB55)</f>
        <v>1151.5489354378585</v>
      </c>
      <c r="M55" s="86">
        <v>1200</v>
      </c>
      <c r="P55" s="85">
        <v>1151.5489354378585</v>
      </c>
    </row>
    <row r="56" spans="1:18" x14ac:dyDescent="0.3">
      <c r="A56" s="85">
        <v>2</v>
      </c>
      <c r="C56" s="85">
        <f>IF(E56=E55,C55+1,1)</f>
        <v>48</v>
      </c>
      <c r="D56" s="85">
        <f>IF(K56=K55,D55,C56)</f>
        <v>48</v>
      </c>
      <c r="E56" s="85">
        <f>10+VALUE(RIGHT(LEFT(G56,3),1))</f>
        <v>12</v>
      </c>
      <c r="F56" s="85" t="str">
        <f>RIGHT(G56,2) &amp; IF(A56&lt;2,"x","")</f>
        <v>pm</v>
      </c>
      <c r="G56" s="85" t="s">
        <v>199</v>
      </c>
      <c r="H56" s="85" t="s">
        <v>150</v>
      </c>
      <c r="I56" s="85" t="s">
        <v>200</v>
      </c>
      <c r="K56" s="86">
        <f>LOOKUP(1E+100,M56:AB56)</f>
        <v>1148.3194134379773</v>
      </c>
      <c r="M56" s="86">
        <v>1200</v>
      </c>
      <c r="R56" s="85">
        <v>1148.3194134379773</v>
      </c>
    </row>
    <row r="57" spans="1:18" x14ac:dyDescent="0.3">
      <c r="A57" s="85">
        <v>2</v>
      </c>
      <c r="C57" s="85">
        <f>IF(E57=E56,C56+1,1)</f>
        <v>49</v>
      </c>
      <c r="D57" s="85">
        <f>IF(K57=K56,D56,C57)</f>
        <v>49</v>
      </c>
      <c r="E57" s="85">
        <f>10+VALUE(RIGHT(LEFT(G57,3),1))</f>
        <v>12</v>
      </c>
      <c r="F57" s="85" t="str">
        <f>RIGHT(G57,2) &amp; IF(A57&lt;2,"x","")</f>
        <v>pm</v>
      </c>
      <c r="G57" s="85" t="s">
        <v>201</v>
      </c>
      <c r="H57" s="85" t="s">
        <v>150</v>
      </c>
      <c r="I57" s="85" t="s">
        <v>202</v>
      </c>
      <c r="K57" s="86">
        <f>LOOKUP(1E+100,M57:AB57)</f>
        <v>1132.182653249615</v>
      </c>
      <c r="M57" s="86">
        <v>1200</v>
      </c>
      <c r="P57" s="85">
        <v>1176.7513934507317</v>
      </c>
      <c r="R57" s="85">
        <v>1132.182653249615</v>
      </c>
    </row>
    <row r="58" spans="1:18" x14ac:dyDescent="0.3">
      <c r="A58" s="85">
        <v>2</v>
      </c>
      <c r="C58" s="85">
        <f>IF(E58=E57,C57+1,1)</f>
        <v>50</v>
      </c>
      <c r="D58" s="85">
        <f>IF(K58=K57,D57,C58)</f>
        <v>50</v>
      </c>
      <c r="E58" s="85">
        <f>10+VALUE(RIGHT(LEFT(G58,3),1))</f>
        <v>12</v>
      </c>
      <c r="F58" s="85" t="str">
        <f>RIGHT(G58,2) &amp; IF(A58&lt;2,"x","")</f>
        <v>pm</v>
      </c>
      <c r="G58" s="301" t="s">
        <v>1076</v>
      </c>
      <c r="H58" s="301" t="s">
        <v>1075</v>
      </c>
      <c r="I58" s="301" t="s">
        <v>1077</v>
      </c>
      <c r="K58" s="86">
        <f>LOOKUP(1E+100,M58:AB58)</f>
        <v>1115.6045285651435</v>
      </c>
      <c r="M58" s="86">
        <v>1200</v>
      </c>
      <c r="P58" s="85">
        <v>1115.6045285651435</v>
      </c>
    </row>
    <row r="59" spans="1:18" x14ac:dyDescent="0.3">
      <c r="A59" s="85">
        <v>2</v>
      </c>
      <c r="C59" s="85">
        <f>IF(E59=E58,C58+1,1)</f>
        <v>51</v>
      </c>
      <c r="D59" s="85">
        <f>IF(K59=K58,D58,C59)</f>
        <v>51</v>
      </c>
      <c r="E59" s="85">
        <f>10+VALUE(RIGHT(LEFT(G59,3),1))</f>
        <v>12</v>
      </c>
      <c r="F59" s="85" t="str">
        <f>RIGHT(G59,2) &amp; IF(A59&lt;2,"x","")</f>
        <v>pm</v>
      </c>
      <c r="G59" s="301" t="s">
        <v>1067</v>
      </c>
      <c r="H59" s="301" t="s">
        <v>1068</v>
      </c>
      <c r="I59" s="301" t="s">
        <v>1069</v>
      </c>
      <c r="K59" s="86">
        <f>LOOKUP(1E+100,M59:AB59)</f>
        <v>1096.3127655480869</v>
      </c>
      <c r="M59" s="86">
        <v>1200</v>
      </c>
      <c r="P59" s="85">
        <v>1096.3127655480869</v>
      </c>
    </row>
    <row r="60" spans="1:18" x14ac:dyDescent="0.3">
      <c r="A60" s="85">
        <v>7</v>
      </c>
      <c r="C60" s="85">
        <f>IF(E60=E59,C59+1,1)</f>
        <v>1</v>
      </c>
      <c r="D60" s="85">
        <f>IF(K60=K59,D59,C60)</f>
        <v>1</v>
      </c>
      <c r="E60" s="85">
        <f>10+VALUE(RIGHT(LEFT(G60,3),1))</f>
        <v>13</v>
      </c>
      <c r="F60" s="85" t="str">
        <f>RIGHT(G60,2) &amp; IF(A60&lt;2,"x","")</f>
        <v>pm</v>
      </c>
      <c r="G60" s="85" t="s">
        <v>566</v>
      </c>
      <c r="H60" s="85" t="s">
        <v>153</v>
      </c>
      <c r="I60" s="85" t="s">
        <v>567</v>
      </c>
      <c r="K60" s="86">
        <f>LOOKUP(1E+100,M60:AB60)</f>
        <v>2158.9052927151342</v>
      </c>
      <c r="M60" s="86">
        <v>2000</v>
      </c>
      <c r="O60" s="85">
        <v>2082.9615061596824</v>
      </c>
      <c r="P60" s="85">
        <v>2166.6401899886919</v>
      </c>
      <c r="Q60" s="85">
        <v>2158.9052927151342</v>
      </c>
    </row>
    <row r="61" spans="1:18" x14ac:dyDescent="0.3">
      <c r="A61" s="85">
        <v>5</v>
      </c>
      <c r="C61" s="85">
        <f>IF(E61=E60,C60+1,1)</f>
        <v>2</v>
      </c>
      <c r="D61" s="85">
        <f>IF(K61=K60,D60,C61)</f>
        <v>2</v>
      </c>
      <c r="E61" s="85">
        <f>10+VALUE(RIGHT(LEFT(G61,3),1))</f>
        <v>13</v>
      </c>
      <c r="F61" s="85" t="str">
        <f>RIGHT(G61,2) &amp; IF(A61&lt;2,"x","")</f>
        <v>pm</v>
      </c>
      <c r="G61" s="85" t="s">
        <v>220</v>
      </c>
      <c r="H61" s="85" t="s">
        <v>497</v>
      </c>
      <c r="I61" s="85" t="s">
        <v>570</v>
      </c>
      <c r="K61" s="86">
        <f>LOOKUP(1E+100,M61:AB61)</f>
        <v>2093.9067840052389</v>
      </c>
      <c r="M61" s="86">
        <v>2000</v>
      </c>
      <c r="P61" s="85">
        <v>2063.7160280611906</v>
      </c>
      <c r="Q61" s="85">
        <v>2093.9067840052389</v>
      </c>
    </row>
    <row r="62" spans="1:18" x14ac:dyDescent="0.3">
      <c r="A62" s="85">
        <v>6</v>
      </c>
      <c r="C62" s="85">
        <f>IF(E62=E61,C61+1,1)</f>
        <v>3</v>
      </c>
      <c r="D62" s="85">
        <f>IF(K62=K61,D61,C62)</f>
        <v>3</v>
      </c>
      <c r="E62" s="85">
        <f>10+VALUE(RIGHT(LEFT(G62,3),1))</f>
        <v>13</v>
      </c>
      <c r="F62" s="85" t="str">
        <f>RIGHT(G62,2) &amp; IF(A62&lt;2,"x","")</f>
        <v>pm</v>
      </c>
      <c r="G62" s="85" t="s">
        <v>211</v>
      </c>
      <c r="H62" s="85" t="s">
        <v>177</v>
      </c>
      <c r="I62" s="85" t="s">
        <v>212</v>
      </c>
      <c r="K62" s="86">
        <f>LOOKUP(1E+100,M62:AB62)</f>
        <v>2028.7259384377141</v>
      </c>
      <c r="M62" s="86">
        <v>2000</v>
      </c>
      <c r="O62" s="85">
        <v>2060.3419653407827</v>
      </c>
      <c r="P62" s="85">
        <v>1987.6646605891308</v>
      </c>
      <c r="Q62" s="85">
        <v>2028.7259384377141</v>
      </c>
    </row>
    <row r="63" spans="1:18" x14ac:dyDescent="0.3">
      <c r="A63" s="85">
        <v>6</v>
      </c>
      <c r="C63" s="85">
        <f>IF(E63=E62,C62+1,1)</f>
        <v>4</v>
      </c>
      <c r="D63" s="85">
        <f>IF(K63=K62,D62,C63)</f>
        <v>4</v>
      </c>
      <c r="E63" s="85">
        <f>10+VALUE(RIGHT(LEFT(G63,3),1))</f>
        <v>13</v>
      </c>
      <c r="F63" s="85" t="str">
        <f>RIGHT(G63,2) &amp; IF(A63&lt;2,"x","")</f>
        <v>pm</v>
      </c>
      <c r="G63" s="85" t="s">
        <v>221</v>
      </c>
      <c r="H63" s="85" t="s">
        <v>167</v>
      </c>
      <c r="I63" s="85" t="s">
        <v>584</v>
      </c>
      <c r="K63" s="86">
        <f>LOOKUP(1E+100,M63:AB63)</f>
        <v>2025.0360399606554</v>
      </c>
      <c r="M63" s="86">
        <v>1966.6666666666667</v>
      </c>
      <c r="Q63" s="85">
        <v>2025.0360399606554</v>
      </c>
    </row>
    <row r="64" spans="1:18" x14ac:dyDescent="0.3">
      <c r="A64" s="85">
        <v>3</v>
      </c>
      <c r="C64" s="85">
        <f>IF(E64=E63,C63+1,1)</f>
        <v>5</v>
      </c>
      <c r="D64" s="85">
        <f>IF(K64=K63,D63,C64)</f>
        <v>5</v>
      </c>
      <c r="E64" s="85">
        <f>10+VALUE(RIGHT(LEFT(G64,3),1))</f>
        <v>13</v>
      </c>
      <c r="F64" s="85" t="str">
        <f>RIGHT(G64,2) &amp; IF(A64&lt;2,"x","")</f>
        <v>pm</v>
      </c>
      <c r="G64" s="85" t="s">
        <v>568</v>
      </c>
      <c r="H64" s="85" t="s">
        <v>258</v>
      </c>
      <c r="I64" s="85" t="s">
        <v>569</v>
      </c>
      <c r="K64" s="86">
        <f>LOOKUP(1E+100,M64:AB64)</f>
        <v>2000</v>
      </c>
      <c r="M64" s="86">
        <v>2000</v>
      </c>
    </row>
    <row r="65" spans="1:18" x14ac:dyDescent="0.3">
      <c r="A65" s="85">
        <v>2</v>
      </c>
      <c r="C65" s="85">
        <f>IF(E65=E64,C64+1,1)</f>
        <v>6</v>
      </c>
      <c r="D65" s="85">
        <f>IF(K65=K64,D64,C65)</f>
        <v>5</v>
      </c>
      <c r="E65" s="85">
        <f>10+VALUE(RIGHT(LEFT(G65,3),1))</f>
        <v>13</v>
      </c>
      <c r="F65" s="85" t="str">
        <f>RIGHT(G65,2) &amp; IF(A65&lt;2,"x","")</f>
        <v>pm</v>
      </c>
      <c r="G65" s="85" t="s">
        <v>243</v>
      </c>
      <c r="H65" s="85" t="s">
        <v>502</v>
      </c>
      <c r="I65" s="85" t="s">
        <v>574</v>
      </c>
      <c r="K65" s="86">
        <f>LOOKUP(1E+100,M65:AB65)</f>
        <v>2000</v>
      </c>
      <c r="M65" s="86">
        <v>2000</v>
      </c>
    </row>
    <row r="66" spans="1:18" x14ac:dyDescent="0.3">
      <c r="A66" s="85">
        <v>2</v>
      </c>
      <c r="C66" s="85">
        <f>IF(E66=E65,C65+1,1)</f>
        <v>7</v>
      </c>
      <c r="D66" s="85">
        <f>IF(K66=K65,D65,C66)</f>
        <v>7</v>
      </c>
      <c r="E66" s="85">
        <f>10+VALUE(RIGHT(LEFT(G66,3),1))</f>
        <v>13</v>
      </c>
      <c r="F66" s="85" t="str">
        <f>RIGHT(G66,2) &amp; IF(A66&lt;2,"x","")</f>
        <v>pm</v>
      </c>
      <c r="G66" s="85" t="s">
        <v>224</v>
      </c>
      <c r="H66" s="85" t="s">
        <v>159</v>
      </c>
      <c r="I66" s="85" t="s">
        <v>573</v>
      </c>
      <c r="K66" s="86">
        <f>LOOKUP(1E+100,M66:AB66)</f>
        <v>1965.4144908495527</v>
      </c>
      <c r="M66" s="86">
        <v>2000</v>
      </c>
      <c r="Q66" s="85">
        <v>1965.4144908495527</v>
      </c>
    </row>
    <row r="67" spans="1:18" x14ac:dyDescent="0.3">
      <c r="A67" s="85">
        <v>5</v>
      </c>
      <c r="C67" s="85">
        <f>IF(E67=E66,C66+1,1)</f>
        <v>8</v>
      </c>
      <c r="D67" s="85">
        <f>IF(K67=K66,D66,C67)</f>
        <v>8</v>
      </c>
      <c r="E67" s="85">
        <f>10+VALUE(RIGHT(LEFT(G67,3),1))</f>
        <v>13</v>
      </c>
      <c r="F67" s="85" t="str">
        <f>RIGHT(G67,2) &amp; IF(A67&lt;2,"x","")</f>
        <v>pm</v>
      </c>
      <c r="G67" s="85" t="s">
        <v>233</v>
      </c>
      <c r="H67" s="85" t="s">
        <v>186</v>
      </c>
      <c r="I67" s="85" t="s">
        <v>565</v>
      </c>
      <c r="K67" s="86">
        <f>LOOKUP(1E+100,M67:AB67)</f>
        <v>1946.4939424044867</v>
      </c>
      <c r="M67" s="86">
        <v>2000</v>
      </c>
      <c r="O67" s="85">
        <v>1966.1739071777461</v>
      </c>
      <c r="Q67" s="85">
        <v>1946.4939424044867</v>
      </c>
    </row>
    <row r="68" spans="1:18" x14ac:dyDescent="0.3">
      <c r="A68" s="85">
        <v>5</v>
      </c>
      <c r="C68" s="85">
        <f>IF(E68=E67,C67+1,1)</f>
        <v>9</v>
      </c>
      <c r="D68" s="85">
        <f>IF(K68=K67,D67,C68)</f>
        <v>9</v>
      </c>
      <c r="E68" s="85">
        <f>10+VALUE(RIGHT(LEFT(G68,3),1))</f>
        <v>13</v>
      </c>
      <c r="F68" s="85" t="str">
        <f>RIGHT(G68,2) &amp; IF(A68&lt;2,"x","")</f>
        <v>pm</v>
      </c>
      <c r="G68" s="85" t="s">
        <v>222</v>
      </c>
      <c r="H68" s="85" t="s">
        <v>497</v>
      </c>
      <c r="I68" s="85" t="s">
        <v>571</v>
      </c>
      <c r="K68" s="86">
        <f>LOOKUP(1E+100,M68:AB68)</f>
        <v>1918.4238666916301</v>
      </c>
      <c r="M68" s="86">
        <v>2000</v>
      </c>
      <c r="P68" s="85">
        <v>1978.7125428643328</v>
      </c>
      <c r="Q68" s="85">
        <v>1918.4238666916301</v>
      </c>
    </row>
    <row r="69" spans="1:18" x14ac:dyDescent="0.3">
      <c r="A69" s="85">
        <v>5</v>
      </c>
      <c r="C69" s="85">
        <f>IF(E69=E68,C68+1,1)</f>
        <v>10</v>
      </c>
      <c r="D69" s="85">
        <f>IF(K69=K68,D68,C69)</f>
        <v>10</v>
      </c>
      <c r="E69" s="85">
        <f>10+VALUE(RIGHT(LEFT(G69,3),1))</f>
        <v>13</v>
      </c>
      <c r="F69" s="85" t="str">
        <f>RIGHT(G69,2) &amp; IF(A69&lt;2,"x","")</f>
        <v>pm</v>
      </c>
      <c r="G69" s="85" t="s">
        <v>232</v>
      </c>
      <c r="H69" s="85" t="s">
        <v>186</v>
      </c>
      <c r="I69" s="85" t="s">
        <v>564</v>
      </c>
      <c r="K69" s="86">
        <f>LOOKUP(1E+100,M69:AB69)</f>
        <v>1910.8241468183951</v>
      </c>
      <c r="M69" s="86">
        <v>2000</v>
      </c>
      <c r="O69" s="85">
        <v>1978.843978202189</v>
      </c>
      <c r="Q69" s="85">
        <v>1910.8241468183951</v>
      </c>
    </row>
    <row r="70" spans="1:18" x14ac:dyDescent="0.3">
      <c r="A70" s="85">
        <v>2</v>
      </c>
      <c r="C70" s="85">
        <f>IF(E70=E69,C69+1,1)</f>
        <v>11</v>
      </c>
      <c r="D70" s="85">
        <f>IF(K70=K69,D69,C70)</f>
        <v>11</v>
      </c>
      <c r="E70" s="85">
        <f>10+VALUE(RIGHT(LEFT(G70,3),1))</f>
        <v>13</v>
      </c>
      <c r="F70" s="85" t="str">
        <f>RIGHT(G70,2) &amp; IF(A70&lt;2,"x","")</f>
        <v>pm</v>
      </c>
      <c r="G70" s="299" t="s">
        <v>1050</v>
      </c>
      <c r="H70" s="85" t="s">
        <v>497</v>
      </c>
      <c r="I70" s="299" t="s">
        <v>1051</v>
      </c>
      <c r="K70" s="86">
        <f>LOOKUP(1E+100,M70:AB70)</f>
        <v>1910.2697823414592</v>
      </c>
      <c r="M70" s="86">
        <v>2000</v>
      </c>
      <c r="P70" s="85">
        <v>1910.2697823414592</v>
      </c>
    </row>
    <row r="71" spans="1:18" x14ac:dyDescent="0.3">
      <c r="A71" s="85">
        <v>6</v>
      </c>
      <c r="C71" s="85">
        <f>IF(E71=E70,C70+1,1)</f>
        <v>12</v>
      </c>
      <c r="D71" s="85">
        <f>IF(K71=K70,D70,C71)</f>
        <v>12</v>
      </c>
      <c r="E71" s="85">
        <f>10+VALUE(RIGHT(LEFT(G71,3),1))</f>
        <v>13</v>
      </c>
      <c r="F71" s="85" t="str">
        <f>RIGHT(G71,2) &amp; IF(A71&lt;2,"x","")</f>
        <v>pm</v>
      </c>
      <c r="G71" s="85" t="s">
        <v>237</v>
      </c>
      <c r="H71" s="85" t="s">
        <v>167</v>
      </c>
      <c r="I71" s="85" t="s">
        <v>572</v>
      </c>
      <c r="K71" s="86">
        <f>LOOKUP(1E+100,M71:AB71)</f>
        <v>1910.2539094930257</v>
      </c>
      <c r="M71" s="86">
        <v>2000</v>
      </c>
      <c r="O71" s="85">
        <v>1941.3772442307425</v>
      </c>
      <c r="Q71" s="85">
        <v>1910.2539094930257</v>
      </c>
    </row>
    <row r="72" spans="1:18" x14ac:dyDescent="0.3">
      <c r="A72" s="85">
        <v>4</v>
      </c>
      <c r="C72" s="85">
        <f>IF(E72=E71,C71+1,1)</f>
        <v>13</v>
      </c>
      <c r="D72" s="85">
        <f>IF(K72=K71,D71,C72)</f>
        <v>13</v>
      </c>
      <c r="E72" s="85">
        <f>10+VALUE(RIGHT(LEFT(G72,3),1))</f>
        <v>13</v>
      </c>
      <c r="F72" s="85" t="str">
        <f>RIGHT(G72,2) &amp; IF(A72&lt;2,"x","")</f>
        <v>pm</v>
      </c>
      <c r="G72" s="85" t="s">
        <v>223</v>
      </c>
      <c r="H72" s="85" t="s">
        <v>163</v>
      </c>
      <c r="I72" s="85" t="s">
        <v>585</v>
      </c>
      <c r="K72" s="86">
        <f>LOOKUP(1E+100,M72:AB72)</f>
        <v>1905.475974080126</v>
      </c>
      <c r="M72" s="86">
        <v>1900</v>
      </c>
      <c r="Q72" s="85">
        <v>1905.475974080126</v>
      </c>
    </row>
    <row r="73" spans="1:18" x14ac:dyDescent="0.3">
      <c r="A73" s="85">
        <v>4</v>
      </c>
      <c r="C73" s="85">
        <f>IF(E73=E72,C72+1,1)</f>
        <v>14</v>
      </c>
      <c r="D73" s="85">
        <f>IF(K73=K72,D72,C73)</f>
        <v>14</v>
      </c>
      <c r="E73" s="85">
        <f>10+VALUE(RIGHT(LEFT(G73,3),1))</f>
        <v>13</v>
      </c>
      <c r="F73" s="85" t="str">
        <f>RIGHT(G73,2) &amp; IF(A73&lt;2,"x","")</f>
        <v>pm</v>
      </c>
      <c r="G73" s="85" t="s">
        <v>213</v>
      </c>
      <c r="H73" s="85" t="s">
        <v>186</v>
      </c>
      <c r="I73" s="85" t="s">
        <v>563</v>
      </c>
      <c r="K73" s="86">
        <f>LOOKUP(1E+100,M73:AB73)</f>
        <v>1889.35082931787</v>
      </c>
      <c r="M73" s="86">
        <v>2000</v>
      </c>
      <c r="O73" s="85">
        <v>1889.35082931787</v>
      </c>
    </row>
    <row r="74" spans="1:18" x14ac:dyDescent="0.3">
      <c r="A74" s="85">
        <v>5</v>
      </c>
      <c r="C74" s="85">
        <f>IF(E74=E73,C73+1,1)</f>
        <v>15</v>
      </c>
      <c r="D74" s="85">
        <f>IF(K74=K73,D73,C74)</f>
        <v>15</v>
      </c>
      <c r="E74" s="85">
        <f>10+VALUE(RIGHT(LEFT(G74,3),1))</f>
        <v>13</v>
      </c>
      <c r="F74" s="85" t="str">
        <f>RIGHT(G74,2) &amp; IF(A74&lt;2,"x","")</f>
        <v>pm</v>
      </c>
      <c r="G74" s="85" t="s">
        <v>591</v>
      </c>
      <c r="H74" s="85" t="s">
        <v>526</v>
      </c>
      <c r="I74" s="85" t="s">
        <v>592</v>
      </c>
      <c r="K74" s="86">
        <f>LOOKUP(1E+100,M74:AB74)</f>
        <v>1844.1438298375165</v>
      </c>
      <c r="M74" s="86">
        <v>1680</v>
      </c>
      <c r="P74" s="85">
        <v>1781.2397204790218</v>
      </c>
      <c r="R74" s="85">
        <v>1844.1438298375165</v>
      </c>
    </row>
    <row r="75" spans="1:18" x14ac:dyDescent="0.3">
      <c r="A75" s="85">
        <v>3</v>
      </c>
      <c r="C75" s="85">
        <f>IF(E75=E74,C74+1,1)</f>
        <v>16</v>
      </c>
      <c r="D75" s="85">
        <f>IF(K75=K74,D74,C75)</f>
        <v>16</v>
      </c>
      <c r="E75" s="85">
        <f>10+VALUE(RIGHT(LEFT(G75,3),1))</f>
        <v>13</v>
      </c>
      <c r="F75" s="85" t="str">
        <f>RIGHT(G75,2) &amp; IF(A75&lt;2,"x","")</f>
        <v>pm</v>
      </c>
      <c r="G75" s="85" t="s">
        <v>225</v>
      </c>
      <c r="H75" s="85" t="s">
        <v>497</v>
      </c>
      <c r="I75" s="85" t="s">
        <v>586</v>
      </c>
      <c r="K75" s="86">
        <f>LOOKUP(1E+100,M75:AB75)</f>
        <v>1831.4752155443539</v>
      </c>
      <c r="M75" s="86">
        <v>1866.6666666666667</v>
      </c>
      <c r="P75" s="85">
        <v>1879.0445986616371</v>
      </c>
      <c r="R75" s="85">
        <v>1831.4752155443539</v>
      </c>
    </row>
    <row r="76" spans="1:18" x14ac:dyDescent="0.3">
      <c r="A76" s="85">
        <v>3</v>
      </c>
      <c r="C76" s="85">
        <f>IF(E76=E75,C75+1,1)</f>
        <v>17</v>
      </c>
      <c r="D76" s="85">
        <f>IF(K76=K75,D75,C76)</f>
        <v>17</v>
      </c>
      <c r="E76" s="85">
        <f>10+VALUE(RIGHT(LEFT(G76,3),1))</f>
        <v>13</v>
      </c>
      <c r="F76" s="85" t="str">
        <f>RIGHT(G76,2) &amp; IF(A76&lt;2,"x","")</f>
        <v>pm</v>
      </c>
      <c r="G76" s="85" t="s">
        <v>208</v>
      </c>
      <c r="H76" s="85" t="s">
        <v>144</v>
      </c>
      <c r="I76" s="85" t="s">
        <v>227</v>
      </c>
      <c r="K76" s="86">
        <f>LOOKUP(1E+100,M76:AB76)</f>
        <v>1724.4275462175704</v>
      </c>
      <c r="M76" s="86">
        <v>1600</v>
      </c>
      <c r="N76" s="85">
        <v>1734.5689277635004</v>
      </c>
      <c r="P76" s="85">
        <v>1724.4275462175704</v>
      </c>
    </row>
    <row r="77" spans="1:18" x14ac:dyDescent="0.3">
      <c r="A77" s="85">
        <v>4</v>
      </c>
      <c r="C77" s="85">
        <f>IF(E77=E76,C76+1,1)</f>
        <v>18</v>
      </c>
      <c r="D77" s="85">
        <f>IF(K77=K76,D76,C77)</f>
        <v>18</v>
      </c>
      <c r="E77" s="85">
        <f>10+VALUE(RIGHT(LEFT(G77,3),1))</f>
        <v>13</v>
      </c>
      <c r="F77" s="85" t="str">
        <f>RIGHT(G77,2) &amp; IF(A77&lt;2,"x","")</f>
        <v>pm</v>
      </c>
      <c r="G77" s="85" t="s">
        <v>228</v>
      </c>
      <c r="H77" s="85" t="s">
        <v>175</v>
      </c>
      <c r="I77" s="85" t="s">
        <v>602</v>
      </c>
      <c r="K77" s="86">
        <f>LOOKUP(1E+100,M77:AB77)</f>
        <v>1717.3090759057159</v>
      </c>
      <c r="M77" s="86">
        <v>1600</v>
      </c>
      <c r="P77" s="85">
        <v>1717.3090759057159</v>
      </c>
    </row>
    <row r="78" spans="1:18" x14ac:dyDescent="0.3">
      <c r="A78" s="85">
        <v>5</v>
      </c>
      <c r="C78" s="85">
        <f>IF(E78=E77,C77+1,1)</f>
        <v>19</v>
      </c>
      <c r="D78" s="85">
        <f>IF(K78=K77,D77,C78)</f>
        <v>19</v>
      </c>
      <c r="E78" s="85">
        <f>10+VALUE(RIGHT(LEFT(G78,3),1))</f>
        <v>13</v>
      </c>
      <c r="F78" s="85" t="str">
        <f>RIGHT(G78,2) &amp; IF(A78&lt;2,"x","")</f>
        <v>pm</v>
      </c>
      <c r="G78" s="85" t="s">
        <v>210</v>
      </c>
      <c r="H78" s="85" t="s">
        <v>175</v>
      </c>
      <c r="I78" s="85" t="s">
        <v>601</v>
      </c>
      <c r="K78" s="86">
        <f>LOOKUP(1E+100,M78:AB78)</f>
        <v>1714.4274743770873</v>
      </c>
      <c r="M78" s="86">
        <v>1600</v>
      </c>
      <c r="N78" s="85">
        <v>1703.6510057867774</v>
      </c>
      <c r="P78" s="85">
        <v>1714.4274743770873</v>
      </c>
    </row>
    <row r="79" spans="1:18" x14ac:dyDescent="0.3">
      <c r="A79" s="85">
        <v>4</v>
      </c>
      <c r="C79" s="85">
        <f>IF(E79=E78,C78+1,1)</f>
        <v>20</v>
      </c>
      <c r="D79" s="85">
        <f>IF(K79=K78,D78,C79)</f>
        <v>20</v>
      </c>
      <c r="E79" s="85">
        <f>10+VALUE(RIGHT(LEFT(G79,3),1))</f>
        <v>13</v>
      </c>
      <c r="F79" s="85" t="str">
        <f>RIGHT(G79,2) &amp; IF(A79&lt;2,"x","")</f>
        <v>pm</v>
      </c>
      <c r="G79" s="85" t="s">
        <v>589</v>
      </c>
      <c r="H79" s="85" t="s">
        <v>534</v>
      </c>
      <c r="I79" s="85" t="s">
        <v>590</v>
      </c>
      <c r="K79" s="86">
        <f>LOOKUP(1E+100,M79:AB79)</f>
        <v>1710.6470272643505</v>
      </c>
      <c r="M79" s="86">
        <v>1700</v>
      </c>
      <c r="P79" s="85">
        <v>1710.6470272643505</v>
      </c>
    </row>
    <row r="80" spans="1:18" x14ac:dyDescent="0.3">
      <c r="A80" s="85">
        <v>3</v>
      </c>
      <c r="C80" s="85">
        <f>IF(E80=E79,C79+1,1)</f>
        <v>21</v>
      </c>
      <c r="D80" s="85">
        <f>IF(K80=K79,D79,C80)</f>
        <v>21</v>
      </c>
      <c r="E80" s="85">
        <f>10+VALUE(RIGHT(LEFT(G80,3),1))</f>
        <v>13</v>
      </c>
      <c r="F80" s="85" t="str">
        <f>RIGHT(G80,2) &amp; IF(A80&lt;2,"x","")</f>
        <v>pm</v>
      </c>
      <c r="G80" s="85" t="s">
        <v>231</v>
      </c>
      <c r="H80" s="85" t="s">
        <v>182</v>
      </c>
      <c r="I80" s="85" t="s">
        <v>608</v>
      </c>
      <c r="K80" s="86">
        <f>LOOKUP(1E+100,M80:AB80)</f>
        <v>1701.1184058676397</v>
      </c>
      <c r="M80" s="86">
        <v>1600</v>
      </c>
      <c r="R80" s="85">
        <v>1701.1184058676397</v>
      </c>
    </row>
    <row r="81" spans="1:18" x14ac:dyDescent="0.3">
      <c r="A81" s="85">
        <v>5</v>
      </c>
      <c r="C81" s="85">
        <f>IF(E81=E80,C80+1,1)</f>
        <v>22</v>
      </c>
      <c r="D81" s="85">
        <f>IF(K81=K80,D80,C81)</f>
        <v>22</v>
      </c>
      <c r="E81" s="85">
        <f>10+VALUE(RIGHT(LEFT(G81,3),1))</f>
        <v>13</v>
      </c>
      <c r="F81" s="85" t="str">
        <f>RIGHT(G81,2) &amp; IF(A81&lt;2,"x","")</f>
        <v>pm</v>
      </c>
      <c r="G81" s="85" t="s">
        <v>599</v>
      </c>
      <c r="H81" s="85" t="s">
        <v>522</v>
      </c>
      <c r="I81" s="85" t="s">
        <v>600</v>
      </c>
      <c r="K81" s="86">
        <f>LOOKUP(1E+100,M81:AB81)</f>
        <v>1694.3212755101226</v>
      </c>
      <c r="M81" s="86">
        <v>1600</v>
      </c>
      <c r="P81" s="85">
        <v>1590.7715876195714</v>
      </c>
      <c r="R81" s="85">
        <v>1694.3212755101226</v>
      </c>
    </row>
    <row r="82" spans="1:18" x14ac:dyDescent="0.3">
      <c r="A82" s="85">
        <v>7</v>
      </c>
      <c r="C82" s="85">
        <f>IF(E82=E81,C81+1,1)</f>
        <v>23</v>
      </c>
      <c r="D82" s="85">
        <f>IF(K82=K81,D81,C82)</f>
        <v>23</v>
      </c>
      <c r="E82" s="85">
        <f>10+VALUE(RIGHT(LEFT(G82,3),1))</f>
        <v>13</v>
      </c>
      <c r="F82" s="85" t="str">
        <f>RIGHT(G82,2) &amp; IF(A82&lt;2,"x","")</f>
        <v>pm</v>
      </c>
      <c r="G82" s="85" t="s">
        <v>620</v>
      </c>
      <c r="H82" s="85" t="s">
        <v>153</v>
      </c>
      <c r="I82" s="85" t="s">
        <v>621</v>
      </c>
      <c r="K82" s="86">
        <f>LOOKUP(1E+100,M82:AB82)</f>
        <v>1683.7707191504878</v>
      </c>
      <c r="M82" s="86">
        <v>1600</v>
      </c>
      <c r="N82" s="85">
        <v>1633.4553905753462</v>
      </c>
      <c r="P82" s="85">
        <v>1598.9138359307153</v>
      </c>
      <c r="R82" s="85">
        <v>1683.7707191504878</v>
      </c>
    </row>
    <row r="83" spans="1:18" x14ac:dyDescent="0.3">
      <c r="A83" s="85">
        <v>3</v>
      </c>
      <c r="C83" s="85">
        <f>IF(E83=E82,C82+1,1)</f>
        <v>24</v>
      </c>
      <c r="D83" s="85">
        <f>IF(K83=K82,D82,C83)</f>
        <v>24</v>
      </c>
      <c r="E83" s="85">
        <f>10+VALUE(RIGHT(LEFT(G83,3),1))</f>
        <v>13</v>
      </c>
      <c r="F83" s="85" t="str">
        <f>RIGHT(G83,2) &amp; IF(A83&lt;2,"x","")</f>
        <v>pm</v>
      </c>
      <c r="G83" s="85" t="s">
        <v>209</v>
      </c>
      <c r="H83" s="85" t="s">
        <v>144</v>
      </c>
      <c r="I83" s="85" t="s">
        <v>595</v>
      </c>
      <c r="K83" s="86">
        <f>LOOKUP(1E+100,M83:AB83)</f>
        <v>1675.5610946866284</v>
      </c>
      <c r="M83" s="86">
        <v>1600</v>
      </c>
      <c r="P83" s="85">
        <v>1675.5610946866284</v>
      </c>
    </row>
    <row r="84" spans="1:18" x14ac:dyDescent="0.3">
      <c r="A84" s="85">
        <v>3</v>
      </c>
      <c r="C84" s="85">
        <f>IF(E84=E83,C83+1,1)</f>
        <v>25</v>
      </c>
      <c r="D84" s="85">
        <f>IF(K84=K83,D83,C84)</f>
        <v>25</v>
      </c>
      <c r="E84" s="85">
        <f>10+VALUE(RIGHT(LEFT(G84,3),1))</f>
        <v>13</v>
      </c>
      <c r="F84" s="85" t="str">
        <f>RIGHT(G84,2) &amp; IF(A84&lt;2,"x","")</f>
        <v>pm</v>
      </c>
      <c r="G84" s="85" t="s">
        <v>622</v>
      </c>
      <c r="H84" s="85" t="s">
        <v>163</v>
      </c>
      <c r="I84" s="85" t="s">
        <v>623</v>
      </c>
      <c r="K84" s="86">
        <f>LOOKUP(1E+100,M84:AB84)</f>
        <v>1624.5609294988997</v>
      </c>
      <c r="M84" s="86">
        <v>1600</v>
      </c>
      <c r="P84" s="85">
        <v>1624.5609294988997</v>
      </c>
    </row>
    <row r="85" spans="1:18" x14ac:dyDescent="0.3">
      <c r="A85" s="85">
        <v>6</v>
      </c>
      <c r="C85" s="85">
        <f>IF(E85=E84,C84+1,1)</f>
        <v>26</v>
      </c>
      <c r="D85" s="85">
        <f>IF(K85=K84,D84,C85)</f>
        <v>26</v>
      </c>
      <c r="E85" s="85">
        <f>10+VALUE(RIGHT(LEFT(G85,3),1))</f>
        <v>13</v>
      </c>
      <c r="F85" s="85" t="str">
        <f>RIGHT(G85,2) &amp; IF(A85&lt;2,"x","")</f>
        <v>pm</v>
      </c>
      <c r="G85" s="85" t="s">
        <v>229</v>
      </c>
      <c r="H85" s="85" t="s">
        <v>177</v>
      </c>
      <c r="I85" s="85" t="s">
        <v>230</v>
      </c>
      <c r="K85" s="86">
        <f>LOOKUP(1E+100,M85:AB85)</f>
        <v>1610.5349292849767</v>
      </c>
      <c r="M85" s="86">
        <v>1600</v>
      </c>
      <c r="P85" s="85">
        <v>1616.737428819403</v>
      </c>
      <c r="R85" s="85">
        <v>1610.5349292849767</v>
      </c>
    </row>
    <row r="86" spans="1:18" x14ac:dyDescent="0.3">
      <c r="A86" s="85">
        <v>3</v>
      </c>
      <c r="C86" s="85">
        <f>IF(E86=E85,C85+1,1)</f>
        <v>27</v>
      </c>
      <c r="D86" s="85">
        <f>IF(K86=K85,D85,C86)</f>
        <v>27</v>
      </c>
      <c r="E86" s="85">
        <f>10+VALUE(RIGHT(LEFT(G86,3),1))</f>
        <v>13</v>
      </c>
      <c r="F86" s="85" t="str">
        <f>RIGHT(G86,2) &amp; IF(A86&lt;2,"x","")</f>
        <v>pm</v>
      </c>
      <c r="G86" s="85" t="s">
        <v>226</v>
      </c>
      <c r="H86" s="85" t="s">
        <v>144</v>
      </c>
      <c r="I86" s="85" t="s">
        <v>596</v>
      </c>
      <c r="K86" s="86">
        <f>LOOKUP(1E+100,M86:AB86)</f>
        <v>1607.7647501108029</v>
      </c>
      <c r="M86" s="86">
        <v>1600</v>
      </c>
      <c r="P86" s="85">
        <v>1607.7647501108029</v>
      </c>
    </row>
    <row r="87" spans="1:18" x14ac:dyDescent="0.3">
      <c r="A87" s="85">
        <v>4</v>
      </c>
      <c r="C87" s="85">
        <f>IF(E87=E86,C86+1,1)</f>
        <v>28</v>
      </c>
      <c r="D87" s="85">
        <f>IF(K87=K86,D86,C87)</f>
        <v>28</v>
      </c>
      <c r="E87" s="85">
        <f>10+VALUE(RIGHT(LEFT(G87,3),1))</f>
        <v>13</v>
      </c>
      <c r="F87" s="85" t="str">
        <f>RIGHT(G87,2) &amp; IF(A87&lt;2,"x","")</f>
        <v>pm</v>
      </c>
      <c r="G87" s="85" t="s">
        <v>597</v>
      </c>
      <c r="H87" s="85" t="s">
        <v>519</v>
      </c>
      <c r="I87" s="85" t="s">
        <v>598</v>
      </c>
      <c r="K87" s="86">
        <f>LOOKUP(1E+100,M87:AB87)</f>
        <v>1604.0521466293651</v>
      </c>
      <c r="M87" s="86">
        <v>1600</v>
      </c>
      <c r="R87" s="85">
        <v>1604.0521466293651</v>
      </c>
    </row>
    <row r="88" spans="1:18" x14ac:dyDescent="0.3">
      <c r="A88" s="85">
        <v>6</v>
      </c>
      <c r="C88" s="85">
        <f>IF(E88=E87,C87+1,1)</f>
        <v>29</v>
      </c>
      <c r="D88" s="85">
        <f>IF(K88=K87,D87,C88)</f>
        <v>29</v>
      </c>
      <c r="E88" s="85">
        <f>10+VALUE(RIGHT(LEFT(G88,3),1))</f>
        <v>13</v>
      </c>
      <c r="F88" s="85" t="str">
        <f>RIGHT(G88,2) &amp; IF(A88&lt;2,"x","")</f>
        <v>pm</v>
      </c>
      <c r="G88" s="85" t="s">
        <v>614</v>
      </c>
      <c r="H88" s="85" t="s">
        <v>186</v>
      </c>
      <c r="I88" s="85" t="s">
        <v>615</v>
      </c>
      <c r="K88" s="86">
        <f>LOOKUP(1E+100,M88:AB88)</f>
        <v>1602.9871441486005</v>
      </c>
      <c r="M88" s="86">
        <v>1600</v>
      </c>
      <c r="P88" s="85">
        <v>1648.4137496847168</v>
      </c>
      <c r="R88" s="85">
        <v>1602.9871441486005</v>
      </c>
    </row>
    <row r="89" spans="1:18" x14ac:dyDescent="0.3">
      <c r="A89" s="85">
        <v>4</v>
      </c>
      <c r="C89" s="85">
        <f>IF(E89=E88,C88+1,1)</f>
        <v>30</v>
      </c>
      <c r="D89" s="85">
        <f>IF(K89=K88,D88,C89)</f>
        <v>30</v>
      </c>
      <c r="E89" s="85">
        <f>10+VALUE(RIGHT(LEFT(G89,3),1))</f>
        <v>13</v>
      </c>
      <c r="F89" s="85" t="str">
        <f>RIGHT(G89,2) &amp; IF(A89&lt;2,"x","")</f>
        <v>pm</v>
      </c>
      <c r="G89" s="85" t="s">
        <v>605</v>
      </c>
      <c r="H89" s="85" t="s">
        <v>606</v>
      </c>
      <c r="I89" s="85" t="s">
        <v>607</v>
      </c>
      <c r="K89" s="86">
        <f>LOOKUP(1E+100,M89:AB89)</f>
        <v>1579.8660708915113</v>
      </c>
      <c r="M89" s="86">
        <v>1600</v>
      </c>
      <c r="P89" s="85">
        <v>1579.8660708915113</v>
      </c>
    </row>
    <row r="90" spans="1:18" x14ac:dyDescent="0.3">
      <c r="A90" s="85">
        <v>6</v>
      </c>
      <c r="C90" s="85">
        <f>IF(E90=E89,C89+1,1)</f>
        <v>31</v>
      </c>
      <c r="D90" s="85">
        <f>IF(K90=K89,D89,C90)</f>
        <v>31</v>
      </c>
      <c r="E90" s="85">
        <f>10+VALUE(RIGHT(LEFT(G90,3),1))</f>
        <v>13</v>
      </c>
      <c r="F90" s="85" t="str">
        <f>RIGHT(G90,2) &amp; IF(A90&lt;2,"x","")</f>
        <v>pm</v>
      </c>
      <c r="G90" s="85" t="s">
        <v>239</v>
      </c>
      <c r="H90" s="85" t="s">
        <v>167</v>
      </c>
      <c r="I90" s="85" t="s">
        <v>238</v>
      </c>
      <c r="K90" s="86">
        <f>LOOKUP(1E+100,M90:AB90)</f>
        <v>1572.8096018157437</v>
      </c>
      <c r="M90" s="86">
        <v>1600</v>
      </c>
      <c r="P90" s="85">
        <v>1573.3453296849921</v>
      </c>
      <c r="R90" s="85">
        <v>1572.8096018157437</v>
      </c>
    </row>
    <row r="91" spans="1:18" x14ac:dyDescent="0.3">
      <c r="A91" s="85">
        <v>3</v>
      </c>
      <c r="C91" s="85">
        <f>IF(E91=E90,C90+1,1)</f>
        <v>32</v>
      </c>
      <c r="D91" s="85">
        <f>IF(K91=K90,D90,C91)</f>
        <v>32</v>
      </c>
      <c r="E91" s="85">
        <f>10+VALUE(RIGHT(LEFT(G91,3),1))</f>
        <v>13</v>
      </c>
      <c r="F91" s="85" t="str">
        <f>RIGHT(G91,2) &amp; IF(A91&lt;2,"x","")</f>
        <v>pm</v>
      </c>
      <c r="G91" s="85" t="s">
        <v>618</v>
      </c>
      <c r="H91" s="85" t="s">
        <v>204</v>
      </c>
      <c r="I91" s="85" t="s">
        <v>619</v>
      </c>
      <c r="K91" s="86">
        <f>LOOKUP(1E+100,M91:AB91)</f>
        <v>1571.9721224993891</v>
      </c>
      <c r="M91" s="86">
        <v>1600</v>
      </c>
      <c r="R91" s="85">
        <v>1571.9721224993891</v>
      </c>
    </row>
    <row r="92" spans="1:18" x14ac:dyDescent="0.3">
      <c r="A92" s="85">
        <v>4</v>
      </c>
      <c r="C92" s="85">
        <f>IF(E92=E91,C91+1,1)</f>
        <v>33</v>
      </c>
      <c r="D92" s="85">
        <f>IF(K92=K91,D91,C92)</f>
        <v>33</v>
      </c>
      <c r="E92" s="85">
        <f>10+VALUE(RIGHT(LEFT(G92,3),1))</f>
        <v>13</v>
      </c>
      <c r="F92" s="85" t="str">
        <f>RIGHT(G92,2) &amp; IF(A92&lt;2,"x","")</f>
        <v>pm</v>
      </c>
      <c r="G92" s="85" t="s">
        <v>603</v>
      </c>
      <c r="H92" s="85" t="s">
        <v>177</v>
      </c>
      <c r="I92" s="85" t="s">
        <v>604</v>
      </c>
      <c r="K92" s="86">
        <f>LOOKUP(1E+100,M92:AB92)</f>
        <v>1555.8084352413171</v>
      </c>
      <c r="M92" s="86">
        <v>1600</v>
      </c>
      <c r="P92" s="85">
        <v>1547.9196897344852</v>
      </c>
      <c r="R92" s="85">
        <v>1555.8084352413171</v>
      </c>
    </row>
    <row r="93" spans="1:18" x14ac:dyDescent="0.3">
      <c r="A93" s="85">
        <v>6</v>
      </c>
      <c r="C93" s="85">
        <f>IF(E93=E92,C92+1,1)</f>
        <v>34</v>
      </c>
      <c r="D93" s="85">
        <f>IF(K93=K92,D92,C93)</f>
        <v>34</v>
      </c>
      <c r="E93" s="85">
        <f>10+VALUE(RIGHT(LEFT(G93,3),1))</f>
        <v>13</v>
      </c>
      <c r="F93" s="85" t="str">
        <f>RIGHT(G93,2) &amp; IF(A93&lt;2,"x","")</f>
        <v>pm</v>
      </c>
      <c r="G93" s="85" t="s">
        <v>616</v>
      </c>
      <c r="H93" s="85" t="s">
        <v>186</v>
      </c>
      <c r="I93" s="85" t="s">
        <v>617</v>
      </c>
      <c r="K93" s="86">
        <f>LOOKUP(1E+100,M93:AB93)</f>
        <v>1553.5745846398738</v>
      </c>
      <c r="M93" s="86">
        <v>1600</v>
      </c>
      <c r="P93" s="85">
        <v>1620.996700650938</v>
      </c>
      <c r="R93" s="85">
        <v>1553.5745846398738</v>
      </c>
    </row>
    <row r="94" spans="1:18" x14ac:dyDescent="0.3">
      <c r="A94" s="85">
        <v>6</v>
      </c>
      <c r="C94" s="85">
        <f>IF(E94=E93,C93+1,1)</f>
        <v>35</v>
      </c>
      <c r="D94" s="85">
        <f>IF(K94=K93,D93,C94)</f>
        <v>35</v>
      </c>
      <c r="E94" s="85">
        <f>10+VALUE(RIGHT(LEFT(G94,3),1))</f>
        <v>13</v>
      </c>
      <c r="F94" s="85" t="str">
        <f>RIGHT(G94,2) &amp; IF(A94&lt;2,"x","")</f>
        <v>pm</v>
      </c>
      <c r="G94" s="85" t="s">
        <v>234</v>
      </c>
      <c r="H94" s="85" t="s">
        <v>186</v>
      </c>
      <c r="I94" s="85" t="s">
        <v>611</v>
      </c>
      <c r="K94" s="86">
        <f>LOOKUP(1E+100,M94:AB94)</f>
        <v>1545.4675568325963</v>
      </c>
      <c r="M94" s="86">
        <v>1600</v>
      </c>
      <c r="P94" s="85">
        <v>1533.7444995390174</v>
      </c>
      <c r="R94" s="85">
        <v>1545.4675568325963</v>
      </c>
    </row>
    <row r="95" spans="1:18" x14ac:dyDescent="0.3">
      <c r="A95" s="85">
        <v>6</v>
      </c>
      <c r="C95" s="85">
        <f>IF(E95=E94,C94+1,1)</f>
        <v>36</v>
      </c>
      <c r="D95" s="85">
        <f>IF(K95=K94,D94,C95)</f>
        <v>36</v>
      </c>
      <c r="E95" s="85">
        <f>10+VALUE(RIGHT(LEFT(G95,3),1))</f>
        <v>13</v>
      </c>
      <c r="F95" s="85" t="str">
        <f>RIGHT(G95,2) &amp; IF(A95&lt;2,"x","")</f>
        <v>pm</v>
      </c>
      <c r="G95" s="85" t="s">
        <v>624</v>
      </c>
      <c r="H95" s="85" t="s">
        <v>167</v>
      </c>
      <c r="I95" s="85" t="s">
        <v>240</v>
      </c>
      <c r="K95" s="86">
        <f>LOOKUP(1E+100,M95:AB95)</f>
        <v>1537.5405912044225</v>
      </c>
      <c r="M95" s="86">
        <v>1600</v>
      </c>
      <c r="P95" s="85">
        <v>1517.3416472478507</v>
      </c>
      <c r="R95" s="85">
        <v>1537.5405912044225</v>
      </c>
    </row>
    <row r="96" spans="1:18" x14ac:dyDescent="0.3">
      <c r="A96" s="85">
        <v>6</v>
      </c>
      <c r="C96" s="85">
        <f>IF(E96=E95,C95+1,1)</f>
        <v>37</v>
      </c>
      <c r="D96" s="85">
        <f>IF(K96=K95,D95,C96)</f>
        <v>37</v>
      </c>
      <c r="E96" s="85">
        <f>10+VALUE(RIGHT(LEFT(G96,3),1))</f>
        <v>13</v>
      </c>
      <c r="F96" s="85" t="str">
        <f>RIGHT(G96,2) &amp; IF(A96&lt;2,"x","")</f>
        <v>pm</v>
      </c>
      <c r="G96" s="85" t="s">
        <v>612</v>
      </c>
      <c r="H96" s="85" t="s">
        <v>186</v>
      </c>
      <c r="I96" s="85" t="s">
        <v>613</v>
      </c>
      <c r="K96" s="86">
        <f>LOOKUP(1E+100,M96:AB96)</f>
        <v>1520.4251338639951</v>
      </c>
      <c r="M96" s="86">
        <v>1600</v>
      </c>
      <c r="P96" s="85">
        <v>1597.3879142967439</v>
      </c>
      <c r="R96" s="85">
        <v>1520.4251338639951</v>
      </c>
    </row>
    <row r="97" spans="1:18" x14ac:dyDescent="0.3">
      <c r="A97" s="85">
        <v>5</v>
      </c>
      <c r="C97" s="85">
        <f>IF(E97=E96,C96+1,1)</f>
        <v>38</v>
      </c>
      <c r="D97" s="85">
        <f>IF(K97=K96,D96,C97)</f>
        <v>38</v>
      </c>
      <c r="E97" s="85">
        <f>10+VALUE(RIGHT(LEFT(G97,3),1))</f>
        <v>13</v>
      </c>
      <c r="F97" s="85" t="str">
        <f>RIGHT(G97,2) &amp; IF(A97&lt;2,"x","")</f>
        <v>pm</v>
      </c>
      <c r="G97" s="85" t="s">
        <v>241</v>
      </c>
      <c r="H97" s="85" t="s">
        <v>242</v>
      </c>
      <c r="I97" s="85" t="s">
        <v>625</v>
      </c>
      <c r="K97" s="86">
        <f>LOOKUP(1E+100,M97:AB97)</f>
        <v>1456.2733865021585</v>
      </c>
      <c r="M97" s="86">
        <v>1600</v>
      </c>
      <c r="P97" s="85">
        <v>1519.0582184667064</v>
      </c>
      <c r="R97" s="85">
        <v>1456.2733865021585</v>
      </c>
    </row>
    <row r="98" spans="1:18" x14ac:dyDescent="0.3">
      <c r="A98" s="85">
        <v>7</v>
      </c>
      <c r="C98" s="85">
        <f>IF(E98=E97,C97+1,1)</f>
        <v>39</v>
      </c>
      <c r="D98" s="85">
        <f>IF(K98=K97,D97,C98)</f>
        <v>39</v>
      </c>
      <c r="E98" s="85">
        <f>10+VALUE(RIGHT(LEFT(G98,3),1))</f>
        <v>13</v>
      </c>
      <c r="F98" s="85" t="str">
        <f>RIGHT(G98,2) &amp; IF(A98&lt;2,"x","")</f>
        <v>pm</v>
      </c>
      <c r="G98" s="85" t="s">
        <v>609</v>
      </c>
      <c r="H98" s="85" t="s">
        <v>342</v>
      </c>
      <c r="I98" s="85" t="s">
        <v>610</v>
      </c>
      <c r="K98" s="86">
        <f>LOOKUP(1E+100,M98:AB98)</f>
        <v>1423.4626944365991</v>
      </c>
      <c r="M98" s="86">
        <v>1600</v>
      </c>
      <c r="N98" s="85">
        <v>1534.3498710699218</v>
      </c>
      <c r="P98" s="85">
        <v>1451.1605393968732</v>
      </c>
      <c r="R98" s="85">
        <v>1423.4626944365991</v>
      </c>
    </row>
    <row r="99" spans="1:18" x14ac:dyDescent="0.3">
      <c r="A99" s="85">
        <v>3</v>
      </c>
      <c r="C99" s="85">
        <f>IF(E99=E98,C98+1,1)</f>
        <v>1</v>
      </c>
      <c r="D99" s="85">
        <f>IF(K99=K98,D98,C99)</f>
        <v>1</v>
      </c>
      <c r="E99" s="85">
        <f>10+VALUE(RIGHT(LEFT(G99,3),1))</f>
        <v>14</v>
      </c>
      <c r="F99" s="85" t="str">
        <f>RIGHT(G99,2) &amp; IF(A99&lt;2,"x","")</f>
        <v>pm</v>
      </c>
      <c r="G99" s="85" t="s">
        <v>244</v>
      </c>
      <c r="H99" s="85" t="s">
        <v>144</v>
      </c>
      <c r="I99" s="85" t="s">
        <v>663</v>
      </c>
      <c r="K99" s="86">
        <f>LOOKUP(1E+100,M99:AB99)</f>
        <v>2326.5309750174952</v>
      </c>
      <c r="M99" s="86">
        <v>2200</v>
      </c>
      <c r="N99" s="85">
        <v>2326.5309750174952</v>
      </c>
    </row>
    <row r="100" spans="1:18" x14ac:dyDescent="0.3">
      <c r="A100" s="85">
        <v>4</v>
      </c>
      <c r="C100" s="85">
        <f>IF(E100=E99,C99+1,1)</f>
        <v>2</v>
      </c>
      <c r="D100" s="85">
        <f>IF(K100=K99,D99,C100)</f>
        <v>2</v>
      </c>
      <c r="E100" s="85">
        <f>10+VALUE(RIGHT(LEFT(G100,3),1))</f>
        <v>14</v>
      </c>
      <c r="F100" s="85" t="str">
        <f>RIGHT(G100,2) &amp; IF(A100&lt;2,"x","")</f>
        <v>pm</v>
      </c>
      <c r="G100" s="85" t="s">
        <v>266</v>
      </c>
      <c r="H100" s="85" t="s">
        <v>497</v>
      </c>
      <c r="I100" s="85" t="s">
        <v>643</v>
      </c>
      <c r="K100" s="86">
        <f>LOOKUP(1E+100,M100:AB100)</f>
        <v>2322.9599348939805</v>
      </c>
      <c r="M100" s="86">
        <v>2200</v>
      </c>
      <c r="P100" s="85">
        <v>2252.1735845054504</v>
      </c>
      <c r="Q100" s="85">
        <v>2322.9599348939805</v>
      </c>
    </row>
    <row r="101" spans="1:18" x14ac:dyDescent="0.3">
      <c r="A101" s="85">
        <v>5</v>
      </c>
      <c r="C101" s="85">
        <f>IF(E101=E100,C100+1,1)</f>
        <v>3</v>
      </c>
      <c r="D101" s="85">
        <f>IF(K101=K100,D100,C101)</f>
        <v>3</v>
      </c>
      <c r="E101" s="85">
        <f>10+VALUE(RIGHT(LEFT(G101,3),1))</f>
        <v>14</v>
      </c>
      <c r="F101" s="85" t="str">
        <f>RIGHT(G101,2) &amp; IF(A101&lt;2,"x","")</f>
        <v>pm</v>
      </c>
      <c r="G101" s="85" t="s">
        <v>248</v>
      </c>
      <c r="H101" s="85" t="s">
        <v>177</v>
      </c>
      <c r="I101" s="85" t="s">
        <v>664</v>
      </c>
      <c r="K101" s="86">
        <f>LOOKUP(1E+100,M101:AB101)</f>
        <v>2312.0767912270649</v>
      </c>
      <c r="M101" s="86">
        <v>2200</v>
      </c>
      <c r="P101" s="85">
        <v>2278.4525646033417</v>
      </c>
      <c r="Q101" s="85">
        <v>2312.0767912270649</v>
      </c>
    </row>
    <row r="102" spans="1:18" x14ac:dyDescent="0.3">
      <c r="A102" s="85">
        <v>4</v>
      </c>
      <c r="C102" s="85">
        <f>IF(E102=E101,C101+1,1)</f>
        <v>4</v>
      </c>
      <c r="D102" s="85">
        <f>IF(K102=K101,D101,C102)</f>
        <v>4</v>
      </c>
      <c r="E102" s="85">
        <f>10+VALUE(RIGHT(LEFT(G102,3),1))</f>
        <v>14</v>
      </c>
      <c r="F102" s="85" t="str">
        <f>RIGHT(G102,2) &amp; IF(A102&lt;2,"x","")</f>
        <v>pm</v>
      </c>
      <c r="G102" s="85" t="s">
        <v>267</v>
      </c>
      <c r="H102" s="85" t="s">
        <v>497</v>
      </c>
      <c r="I102" s="85" t="s">
        <v>644</v>
      </c>
      <c r="K102" s="86">
        <f>LOOKUP(1E+100,M102:AB102)</f>
        <v>2256.7216718863097</v>
      </c>
      <c r="M102" s="86">
        <v>2200</v>
      </c>
      <c r="P102" s="85">
        <v>2244.6644171731336</v>
      </c>
      <c r="Q102" s="85">
        <v>2256.7216718863097</v>
      </c>
    </row>
    <row r="103" spans="1:18" x14ac:dyDescent="0.3">
      <c r="A103" s="85">
        <v>6</v>
      </c>
      <c r="C103" s="85">
        <f>IF(E103=E102,C102+1,1)</f>
        <v>5</v>
      </c>
      <c r="D103" s="85">
        <f>IF(K103=K102,D102,C103)</f>
        <v>5</v>
      </c>
      <c r="E103" s="85">
        <f>10+VALUE(RIGHT(LEFT(G103,3),1))</f>
        <v>14</v>
      </c>
      <c r="F103" s="85" t="str">
        <f>RIGHT(G103,2) &amp; IF(A103&lt;2,"x","")</f>
        <v>pm</v>
      </c>
      <c r="G103" s="85" t="s">
        <v>638</v>
      </c>
      <c r="H103" s="85" t="s">
        <v>416</v>
      </c>
      <c r="I103" s="85" t="s">
        <v>639</v>
      </c>
      <c r="K103" s="86">
        <f>LOOKUP(1E+100,M103:AB103)</f>
        <v>2241.891408622294</v>
      </c>
      <c r="M103" s="86">
        <v>2200</v>
      </c>
      <c r="O103" s="85">
        <v>2269.3527841117907</v>
      </c>
      <c r="P103" s="85">
        <v>2241.891408622294</v>
      </c>
    </row>
    <row r="104" spans="1:18" x14ac:dyDescent="0.3">
      <c r="A104" s="85">
        <v>5</v>
      </c>
      <c r="C104" s="85">
        <f>IF(E104=E103,C103+1,1)</f>
        <v>6</v>
      </c>
      <c r="D104" s="85">
        <f>IF(K104=K103,D103,C104)</f>
        <v>6</v>
      </c>
      <c r="E104" s="85">
        <f>10+VALUE(RIGHT(LEFT(G104,3),1))</f>
        <v>14</v>
      </c>
      <c r="F104" s="85" t="str">
        <f>RIGHT(G104,2) &amp; IF(A104&lt;2,"x","")</f>
        <v>pm</v>
      </c>
      <c r="G104" s="85" t="s">
        <v>268</v>
      </c>
      <c r="H104" s="85" t="s">
        <v>167</v>
      </c>
      <c r="I104" s="85" t="s">
        <v>648</v>
      </c>
      <c r="K104" s="86">
        <f>LOOKUP(1E+100,M104:AB104)</f>
        <v>2234.3526263757667</v>
      </c>
      <c r="M104" s="86">
        <v>2200</v>
      </c>
      <c r="Q104" s="85">
        <v>2234.3526263757667</v>
      </c>
    </row>
    <row r="105" spans="1:18" x14ac:dyDescent="0.3">
      <c r="A105" s="85">
        <v>4</v>
      </c>
      <c r="C105" s="85">
        <f>IF(E105=E104,C104+1,1)</f>
        <v>7</v>
      </c>
      <c r="D105" s="85">
        <f>IF(K105=K104,D104,C105)</f>
        <v>7</v>
      </c>
      <c r="E105" s="85">
        <f>10+VALUE(RIGHT(LEFT(G105,3),1))</f>
        <v>14</v>
      </c>
      <c r="F105" s="85" t="str">
        <f>RIGHT(G105,2) &amp; IF(A105&lt;2,"x","")</f>
        <v>pm</v>
      </c>
      <c r="G105" s="85" t="s">
        <v>275</v>
      </c>
      <c r="H105" s="85" t="s">
        <v>183</v>
      </c>
      <c r="I105" s="85" t="s">
        <v>671</v>
      </c>
      <c r="K105" s="86">
        <f>LOOKUP(1E+100,M105:AB105)</f>
        <v>2214.8101428000855</v>
      </c>
      <c r="M105" s="86">
        <v>2100</v>
      </c>
      <c r="N105" s="85">
        <v>2174.2197512125058</v>
      </c>
      <c r="P105" s="85">
        <v>2214.8101428000855</v>
      </c>
    </row>
    <row r="106" spans="1:18" x14ac:dyDescent="0.3">
      <c r="A106" s="85">
        <v>2</v>
      </c>
      <c r="C106" s="85">
        <f>IF(E106=E105,C105+1,1)</f>
        <v>8</v>
      </c>
      <c r="D106" s="85">
        <f>IF(K106=K105,D105,C106)</f>
        <v>8</v>
      </c>
      <c r="E106" s="85">
        <f>10+VALUE(RIGHT(LEFT(G106,3),1))</f>
        <v>14</v>
      </c>
      <c r="F106" s="85" t="str">
        <f>RIGHT(G106,2) &amp; IF(A106&lt;2,"x","")</f>
        <v>pm</v>
      </c>
      <c r="G106" s="85" t="s">
        <v>262</v>
      </c>
      <c r="H106" s="85" t="s">
        <v>163</v>
      </c>
      <c r="I106" s="85" t="s">
        <v>263</v>
      </c>
      <c r="K106" s="86">
        <f>LOOKUP(1E+100,M106:AB106)</f>
        <v>2207.6972005187226</v>
      </c>
      <c r="M106" s="86">
        <v>2200</v>
      </c>
      <c r="Q106" s="85">
        <v>2207.6972005187226</v>
      </c>
    </row>
    <row r="107" spans="1:18" x14ac:dyDescent="0.3">
      <c r="A107" s="85">
        <v>3</v>
      </c>
      <c r="C107" s="85">
        <f>IF(E107=E106,C106+1,1)</f>
        <v>9</v>
      </c>
      <c r="D107" s="85">
        <f>IF(K107=K106,D106,C107)</f>
        <v>9</v>
      </c>
      <c r="E107" s="85">
        <f>10+VALUE(RIGHT(LEFT(G107,3),1))</f>
        <v>14</v>
      </c>
      <c r="F107" s="85" t="str">
        <f>RIGHT(G107,2) &amp; IF(A107&lt;2,"x","")</f>
        <v>pm</v>
      </c>
      <c r="G107" s="85" t="s">
        <v>288</v>
      </c>
      <c r="H107" s="85" t="s">
        <v>175</v>
      </c>
      <c r="I107" s="85" t="s">
        <v>636</v>
      </c>
      <c r="K107" s="86">
        <f>LOOKUP(1E+100,M107:AB107)</f>
        <v>2203.730133714088</v>
      </c>
      <c r="M107" s="86">
        <v>2200</v>
      </c>
      <c r="O107" s="85">
        <v>2186.0000721639085</v>
      </c>
      <c r="P107" s="85">
        <v>2203.730133714088</v>
      </c>
    </row>
    <row r="108" spans="1:18" x14ac:dyDescent="0.3">
      <c r="A108" s="85">
        <v>2</v>
      </c>
      <c r="C108" s="85">
        <f>IF(E108=E107,C107+1,1)</f>
        <v>10</v>
      </c>
      <c r="D108" s="85">
        <f>IF(K108=K107,D107,C108)</f>
        <v>10</v>
      </c>
      <c r="E108" s="85">
        <f>10+VALUE(RIGHT(LEFT(G108,3),1))</f>
        <v>14</v>
      </c>
      <c r="F108" s="85" t="str">
        <f>RIGHT(G108,2) &amp; IF(A108&lt;2,"x","")</f>
        <v>pm</v>
      </c>
      <c r="G108" s="85" t="s">
        <v>257</v>
      </c>
      <c r="H108" s="85" t="s">
        <v>258</v>
      </c>
      <c r="I108" s="85" t="s">
        <v>640</v>
      </c>
      <c r="K108" s="86">
        <f>LOOKUP(1E+100,M108:AB108)</f>
        <v>2200</v>
      </c>
      <c r="M108" s="86">
        <v>2200</v>
      </c>
    </row>
    <row r="109" spans="1:18" x14ac:dyDescent="0.3">
      <c r="A109" s="85">
        <v>2</v>
      </c>
      <c r="C109" s="85">
        <f>IF(E109=E108,C108+1,1)</f>
        <v>11</v>
      </c>
      <c r="D109" s="85">
        <f>IF(K109=K108,D108,C109)</f>
        <v>10</v>
      </c>
      <c r="E109" s="85">
        <f>10+VALUE(RIGHT(LEFT(G109,3),1))</f>
        <v>14</v>
      </c>
      <c r="F109" s="85" t="str">
        <f>RIGHT(G109,2) &amp; IF(A109&lt;2,"x","")</f>
        <v>pm</v>
      </c>
      <c r="G109" s="85" t="s">
        <v>302</v>
      </c>
      <c r="H109" s="85" t="s">
        <v>167</v>
      </c>
      <c r="I109" s="85" t="s">
        <v>650</v>
      </c>
      <c r="K109" s="86">
        <f>LOOKUP(1E+100,M109:AB109)</f>
        <v>2200</v>
      </c>
      <c r="M109" s="86">
        <v>2200</v>
      </c>
    </row>
    <row r="110" spans="1:18" x14ac:dyDescent="0.3">
      <c r="A110" s="85">
        <v>2</v>
      </c>
      <c r="C110" s="85">
        <f>IF(E110=E109,C109+1,1)</f>
        <v>12</v>
      </c>
      <c r="D110" s="85">
        <f>IF(K110=K109,D109,C110)</f>
        <v>10</v>
      </c>
      <c r="E110" s="85">
        <f>10+VALUE(RIGHT(LEFT(G110,3),1))</f>
        <v>14</v>
      </c>
      <c r="F110" s="85" t="str">
        <f>RIGHT(G110,2) &amp; IF(A110&lt;2,"x","")</f>
        <v>pm</v>
      </c>
      <c r="G110" s="85" t="s">
        <v>270</v>
      </c>
      <c r="H110" s="85" t="s">
        <v>159</v>
      </c>
      <c r="I110" s="85" t="s">
        <v>653</v>
      </c>
      <c r="K110" s="86">
        <f>LOOKUP(1E+100,M110:AB110)</f>
        <v>2200</v>
      </c>
      <c r="M110" s="86">
        <v>2200</v>
      </c>
    </row>
    <row r="111" spans="1:18" x14ac:dyDescent="0.3">
      <c r="A111" s="85">
        <v>3</v>
      </c>
      <c r="C111" s="85">
        <f>IF(E111=E110,C110+1,1)</f>
        <v>13</v>
      </c>
      <c r="D111" s="85">
        <f>IF(K111=K110,D110,C111)</f>
        <v>10</v>
      </c>
      <c r="E111" s="85">
        <f>10+VALUE(RIGHT(LEFT(G111,3),1))</f>
        <v>14</v>
      </c>
      <c r="F111" s="85" t="str">
        <f>RIGHT(G111,2) &amp; IF(A111&lt;2,"x","")</f>
        <v>pm</v>
      </c>
      <c r="G111" s="85" t="s">
        <v>271</v>
      </c>
      <c r="H111" s="85" t="s">
        <v>502</v>
      </c>
      <c r="I111" s="85" t="s">
        <v>654</v>
      </c>
      <c r="K111" s="86">
        <f>LOOKUP(1E+100,M111:AB111)</f>
        <v>2200</v>
      </c>
      <c r="M111" s="86">
        <v>2200</v>
      </c>
    </row>
    <row r="112" spans="1:18" x14ac:dyDescent="0.3">
      <c r="A112" s="85">
        <v>3</v>
      </c>
      <c r="C112" s="85">
        <f>IF(E112=E111,C111+1,1)</f>
        <v>14</v>
      </c>
      <c r="D112" s="85">
        <f>IF(K112=K111,D111,C112)</f>
        <v>14</v>
      </c>
      <c r="E112" s="85">
        <f>10+VALUE(RIGHT(LEFT(G112,3),1))</f>
        <v>14</v>
      </c>
      <c r="F112" s="85" t="str">
        <f>RIGHT(G112,2) &amp; IF(A112&lt;2,"x","")</f>
        <v>pm</v>
      </c>
      <c r="G112" s="85" t="s">
        <v>668</v>
      </c>
      <c r="H112" s="85" t="s">
        <v>145</v>
      </c>
      <c r="I112" s="85" t="s">
        <v>669</v>
      </c>
      <c r="K112" s="86">
        <f>LOOKUP(1E+100,M112:AB112)</f>
        <v>2197.4041119202066</v>
      </c>
      <c r="M112" s="86">
        <v>2133.3333333333335</v>
      </c>
      <c r="N112" s="85">
        <v>2197.4041119202066</v>
      </c>
    </row>
    <row r="113" spans="1:18" x14ac:dyDescent="0.3">
      <c r="A113" s="85">
        <v>4</v>
      </c>
      <c r="C113" s="85">
        <f>IF(E113=E112,C112+1,1)</f>
        <v>15</v>
      </c>
      <c r="D113" s="85">
        <f>IF(K113=K112,D112,C113)</f>
        <v>15</v>
      </c>
      <c r="E113" s="85">
        <f>10+VALUE(RIGHT(LEFT(G113,3),1))</f>
        <v>14</v>
      </c>
      <c r="F113" s="85" t="str">
        <f>RIGHT(G113,2) &amp; IF(A113&lt;2,"x","")</f>
        <v>pm</v>
      </c>
      <c r="G113" s="85" t="s">
        <v>276</v>
      </c>
      <c r="H113" s="85" t="s">
        <v>497</v>
      </c>
      <c r="I113" s="85" t="s">
        <v>645</v>
      </c>
      <c r="K113" s="86">
        <f>LOOKUP(1E+100,M113:AB113)</f>
        <v>2190.8176806406782</v>
      </c>
      <c r="M113" s="86">
        <v>2200</v>
      </c>
      <c r="P113" s="85">
        <v>2134.2419780029754</v>
      </c>
      <c r="Q113" s="85">
        <v>2190.8176806406782</v>
      </c>
    </row>
    <row r="114" spans="1:18" x14ac:dyDescent="0.3">
      <c r="A114" s="85">
        <v>5</v>
      </c>
      <c r="C114" s="85">
        <f>IF(E114=E113,C113+1,1)</f>
        <v>16</v>
      </c>
      <c r="D114" s="85">
        <f>IF(K114=K113,D113,C114)</f>
        <v>16</v>
      </c>
      <c r="E114" s="85">
        <f>10+VALUE(RIGHT(LEFT(G114,3),1))</f>
        <v>14</v>
      </c>
      <c r="F114" s="85" t="str">
        <f>RIGHT(G114,2) &amp; IF(A114&lt;2,"x","")</f>
        <v>pm</v>
      </c>
      <c r="G114" s="85" t="s">
        <v>250</v>
      </c>
      <c r="H114" s="85" t="s">
        <v>186</v>
      </c>
      <c r="I114" s="85" t="s">
        <v>665</v>
      </c>
      <c r="K114" s="86">
        <f>LOOKUP(1E+100,M114:AB114)</f>
        <v>2157.0688207251719</v>
      </c>
      <c r="M114" s="86">
        <v>2160</v>
      </c>
      <c r="P114" s="85">
        <v>2157.0688207251719</v>
      </c>
    </row>
    <row r="115" spans="1:18" x14ac:dyDescent="0.3">
      <c r="A115" s="85">
        <v>4</v>
      </c>
      <c r="C115" s="85">
        <f>IF(E115=E114,C114+1,1)</f>
        <v>17</v>
      </c>
      <c r="D115" s="85">
        <f>IF(K115=K114,D114,C115)</f>
        <v>17</v>
      </c>
      <c r="E115" s="85">
        <f>10+VALUE(RIGHT(LEFT(G115,3),1))</f>
        <v>14</v>
      </c>
      <c r="F115" s="85" t="str">
        <f>RIGHT(G115,2) &amp; IF(A115&lt;2,"x","")</f>
        <v>pm</v>
      </c>
      <c r="G115" s="85" t="s">
        <v>282</v>
      </c>
      <c r="H115" s="85" t="s">
        <v>144</v>
      </c>
      <c r="I115" s="85" t="s">
        <v>634</v>
      </c>
      <c r="K115" s="86">
        <f>LOOKUP(1E+100,M115:AB115)</f>
        <v>2156.4076860800524</v>
      </c>
      <c r="M115" s="86">
        <v>2200</v>
      </c>
      <c r="P115" s="85">
        <v>2156.4076860800524</v>
      </c>
    </row>
    <row r="116" spans="1:18" x14ac:dyDescent="0.3">
      <c r="A116" s="85">
        <v>3</v>
      </c>
      <c r="C116" s="85">
        <f>IF(E116=E115,C115+1,1)</f>
        <v>18</v>
      </c>
      <c r="D116" s="85">
        <f>IF(K116=K115,D115,C116)</f>
        <v>18</v>
      </c>
      <c r="E116" s="85">
        <f>10+VALUE(RIGHT(LEFT(G116,3),1))</f>
        <v>14</v>
      </c>
      <c r="F116" s="85" t="str">
        <f>RIGHT(G116,2) &amp; IF(A116&lt;2,"x","")</f>
        <v>pm</v>
      </c>
      <c r="G116" s="85" t="s">
        <v>646</v>
      </c>
      <c r="H116" s="85" t="s">
        <v>534</v>
      </c>
      <c r="I116" s="85" t="s">
        <v>647</v>
      </c>
      <c r="K116" s="86">
        <f>LOOKUP(1E+100,M116:AB116)</f>
        <v>2154.5117880449393</v>
      </c>
      <c r="M116" s="86">
        <v>2200</v>
      </c>
      <c r="Q116" s="85">
        <v>2154.5117880449393</v>
      </c>
    </row>
    <row r="117" spans="1:18" x14ac:dyDescent="0.3">
      <c r="A117" s="85">
        <v>4</v>
      </c>
      <c r="C117" s="85">
        <f>IF(E117=E116,C116+1,1)</f>
        <v>19</v>
      </c>
      <c r="D117" s="85">
        <f>IF(K117=K116,D116,C117)</f>
        <v>19</v>
      </c>
      <c r="E117" s="85">
        <f>10+VALUE(RIGHT(LEFT(G117,3),1))</f>
        <v>14</v>
      </c>
      <c r="F117" s="85" t="str">
        <f>RIGHT(G117,2) &amp; IF(A117&lt;2,"x","")</f>
        <v>pm</v>
      </c>
      <c r="G117" s="85" t="s">
        <v>245</v>
      </c>
      <c r="H117" s="85" t="s">
        <v>144</v>
      </c>
      <c r="I117" s="85" t="s">
        <v>246</v>
      </c>
      <c r="K117" s="86">
        <f>LOOKUP(1E+100,M117:AB117)</f>
        <v>2151.3312763980157</v>
      </c>
      <c r="M117" s="86">
        <v>2200</v>
      </c>
      <c r="P117" s="85">
        <v>2151.3312763980157</v>
      </c>
    </row>
    <row r="118" spans="1:18" x14ac:dyDescent="0.3">
      <c r="A118" s="85">
        <v>5</v>
      </c>
      <c r="C118" s="85">
        <f>IF(E118=E117,C117+1,1)</f>
        <v>20</v>
      </c>
      <c r="D118" s="85">
        <f>IF(K118=K117,D117,C118)</f>
        <v>20</v>
      </c>
      <c r="E118" s="85">
        <f>10+VALUE(RIGHT(LEFT(G118,3),1))</f>
        <v>14</v>
      </c>
      <c r="F118" s="85" t="str">
        <f>RIGHT(G118,2) &amp; IF(A118&lt;2,"x","")</f>
        <v>pm</v>
      </c>
      <c r="G118" s="85" t="s">
        <v>269</v>
      </c>
      <c r="H118" s="85" t="s">
        <v>167</v>
      </c>
      <c r="I118" s="85" t="s">
        <v>649</v>
      </c>
      <c r="K118" s="86">
        <f>LOOKUP(1E+100,M118:AB118)</f>
        <v>2144.1609008331397</v>
      </c>
      <c r="M118" s="86">
        <v>2200</v>
      </c>
      <c r="Q118" s="85">
        <v>2144.1609008331397</v>
      </c>
    </row>
    <row r="119" spans="1:18" x14ac:dyDescent="0.3">
      <c r="A119" s="85">
        <v>2</v>
      </c>
      <c r="C119" s="85">
        <f>IF(E119=E118,C118+1,1)</f>
        <v>21</v>
      </c>
      <c r="D119" s="85">
        <f>IF(K119=K118,D118,C119)</f>
        <v>21</v>
      </c>
      <c r="E119" s="85">
        <f>10+VALUE(RIGHT(LEFT(G119,3),1))</f>
        <v>14</v>
      </c>
      <c r="F119" s="85" t="str">
        <f>RIGHT(G119,2) &amp; IF(A119&lt;2,"x","")</f>
        <v>pm</v>
      </c>
      <c r="G119" s="85" t="s">
        <v>672</v>
      </c>
      <c r="H119" s="85" t="s">
        <v>497</v>
      </c>
      <c r="I119" s="85" t="s">
        <v>673</v>
      </c>
      <c r="K119" s="86">
        <f>LOOKUP(1E+100,M119:AB119)</f>
        <v>2082.0096454673176</v>
      </c>
      <c r="M119" s="86">
        <v>2000</v>
      </c>
      <c r="P119" s="85">
        <v>2049.1781545895406</v>
      </c>
      <c r="R119" s="85">
        <v>2082.0096454673176</v>
      </c>
    </row>
    <row r="120" spans="1:18" x14ac:dyDescent="0.3">
      <c r="A120" s="85">
        <v>7</v>
      </c>
      <c r="C120" s="85">
        <f>IF(E120=E119,C119+1,1)</f>
        <v>22</v>
      </c>
      <c r="D120" s="85">
        <f>IF(K120=K119,D119,C120)</f>
        <v>22</v>
      </c>
      <c r="E120" s="85">
        <f>10+VALUE(RIGHT(LEFT(G120,3),1))</f>
        <v>14</v>
      </c>
      <c r="F120" s="85" t="str">
        <f>RIGHT(G120,2) &amp; IF(A120&lt;2,"x","")</f>
        <v>pm</v>
      </c>
      <c r="G120" s="85" t="s">
        <v>252</v>
      </c>
      <c r="H120" s="85" t="s">
        <v>186</v>
      </c>
      <c r="I120" s="85" t="s">
        <v>666</v>
      </c>
      <c r="K120" s="86">
        <f>LOOKUP(1E+100,M120:AB120)</f>
        <v>2080.9005449319152</v>
      </c>
      <c r="M120" s="86">
        <v>2142.8571428571427</v>
      </c>
      <c r="O120" s="85">
        <v>2124.8136406435256</v>
      </c>
      <c r="P120" s="85">
        <v>2119.2988049542182</v>
      </c>
      <c r="Q120" s="85">
        <v>2080.9005449319152</v>
      </c>
    </row>
    <row r="121" spans="1:18" x14ac:dyDescent="0.3">
      <c r="A121" s="85">
        <v>2</v>
      </c>
      <c r="C121" s="85">
        <f>IF(E121=E120,C120+1,1)</f>
        <v>23</v>
      </c>
      <c r="D121" s="85">
        <f>IF(K121=K120,D120,C121)</f>
        <v>23</v>
      </c>
      <c r="E121" s="85">
        <f>10+VALUE(RIGHT(LEFT(G121,3),1))</f>
        <v>14</v>
      </c>
      <c r="F121" s="85" t="str">
        <f>RIGHT(G121,2) &amp; IF(A121&lt;2,"x","")</f>
        <v>pm</v>
      </c>
      <c r="G121" s="85" t="s">
        <v>651</v>
      </c>
      <c r="H121" s="85" t="s">
        <v>331</v>
      </c>
      <c r="I121" s="85" t="s">
        <v>652</v>
      </c>
      <c r="K121" s="86">
        <f>LOOKUP(1E+100,M121:AB121)</f>
        <v>2073.5421959918044</v>
      </c>
      <c r="M121" s="86">
        <v>2200</v>
      </c>
      <c r="P121" s="85">
        <v>2073.5421959918044</v>
      </c>
    </row>
    <row r="122" spans="1:18" x14ac:dyDescent="0.3">
      <c r="A122" s="85">
        <v>6</v>
      </c>
      <c r="C122" s="85">
        <f>IF(E122=E121,C121+1,1)</f>
        <v>24</v>
      </c>
      <c r="D122" s="85">
        <f>IF(K122=K121,D121,C122)</f>
        <v>24</v>
      </c>
      <c r="E122" s="85">
        <f>10+VALUE(RIGHT(LEFT(G122,3),1))</f>
        <v>14</v>
      </c>
      <c r="F122" s="85" t="str">
        <f>RIGHT(G122,2) &amp; IF(A122&lt;2,"x","")</f>
        <v>pm</v>
      </c>
      <c r="G122" s="85" t="s">
        <v>249</v>
      </c>
      <c r="H122" s="85" t="s">
        <v>177</v>
      </c>
      <c r="I122" s="85" t="s">
        <v>667</v>
      </c>
      <c r="K122" s="86">
        <f>LOOKUP(1E+100,M122:AB122)</f>
        <v>2050.4875131961689</v>
      </c>
      <c r="M122" s="86">
        <v>2133.3333333333335</v>
      </c>
      <c r="O122" s="85">
        <v>2123.8030060029546</v>
      </c>
      <c r="P122" s="85">
        <v>2028.2185977183215</v>
      </c>
      <c r="Q122" s="85">
        <v>2050.4875131961689</v>
      </c>
    </row>
    <row r="123" spans="1:18" x14ac:dyDescent="0.3">
      <c r="A123" s="85">
        <v>6</v>
      </c>
      <c r="C123" s="85">
        <f>IF(E123=E122,C122+1,1)</f>
        <v>25</v>
      </c>
      <c r="D123" s="85">
        <f>IF(K123=K122,D122,C123)</f>
        <v>25</v>
      </c>
      <c r="E123" s="85">
        <f>10+VALUE(RIGHT(LEFT(G123,3),1))</f>
        <v>14</v>
      </c>
      <c r="F123" s="85" t="str">
        <f>RIGHT(G123,2) &amp; IF(A123&lt;2,"x","")</f>
        <v>pm</v>
      </c>
      <c r="G123" s="85" t="s">
        <v>251</v>
      </c>
      <c r="H123" s="85" t="s">
        <v>186</v>
      </c>
      <c r="I123" s="85" t="s">
        <v>670</v>
      </c>
      <c r="K123" s="86">
        <f>LOOKUP(1E+100,M123:AB123)</f>
        <v>2046.4945599612686</v>
      </c>
      <c r="M123" s="86">
        <v>2133.3333333333335</v>
      </c>
      <c r="O123" s="85">
        <v>2086.4490895334916</v>
      </c>
      <c r="Q123" s="85">
        <v>2046.4945599612686</v>
      </c>
    </row>
    <row r="124" spans="1:18" x14ac:dyDescent="0.3">
      <c r="A124" s="85">
        <v>2</v>
      </c>
      <c r="C124" s="85">
        <f>IF(E124=E123,C123+1,1)</f>
        <v>26</v>
      </c>
      <c r="D124" s="85">
        <f>IF(K124=K123,D123,C124)</f>
        <v>26</v>
      </c>
      <c r="E124" s="85">
        <f>10+VALUE(RIGHT(LEFT(G124,3),1))</f>
        <v>14</v>
      </c>
      <c r="F124" s="85" t="str">
        <f>RIGHT(G124,2) &amp; IF(A124&lt;2,"x","")</f>
        <v>pm</v>
      </c>
      <c r="G124" s="85" t="s">
        <v>273</v>
      </c>
      <c r="H124" s="85" t="s">
        <v>159</v>
      </c>
      <c r="I124" s="85" t="s">
        <v>274</v>
      </c>
      <c r="K124" s="86">
        <f>LOOKUP(1E+100,M124:AB124)</f>
        <v>2000</v>
      </c>
      <c r="M124" s="86">
        <v>2000</v>
      </c>
    </row>
    <row r="125" spans="1:18" x14ac:dyDescent="0.3">
      <c r="A125" s="85">
        <v>6</v>
      </c>
      <c r="C125" s="85">
        <f>IF(E125=E124,C124+1,1)</f>
        <v>27</v>
      </c>
      <c r="D125" s="85">
        <f>IF(K125=K124,D124,C125)</f>
        <v>27</v>
      </c>
      <c r="E125" s="85">
        <f>10+VALUE(RIGHT(LEFT(G125,3),1))</f>
        <v>14</v>
      </c>
      <c r="F125" s="85" t="str">
        <f>RIGHT(G125,2) &amp; IF(A125&lt;2,"x","")</f>
        <v>pm</v>
      </c>
      <c r="G125" s="85" t="s">
        <v>303</v>
      </c>
      <c r="H125" s="85" t="s">
        <v>562</v>
      </c>
      <c r="I125" s="85" t="s">
        <v>304</v>
      </c>
      <c r="K125" s="86">
        <f>LOOKUP(1E+100,M125:AB125)</f>
        <v>1995.5262938549226</v>
      </c>
      <c r="M125" s="86">
        <v>1800</v>
      </c>
      <c r="N125" s="85">
        <v>1880.956617928209</v>
      </c>
      <c r="P125" s="85">
        <v>1962.7409125642057</v>
      </c>
      <c r="R125" s="85">
        <v>1995.5262938549226</v>
      </c>
    </row>
    <row r="126" spans="1:18" x14ac:dyDescent="0.3">
      <c r="A126" s="85">
        <v>5</v>
      </c>
      <c r="C126" s="85">
        <f>IF(E126=E125,C125+1,1)</f>
        <v>28</v>
      </c>
      <c r="D126" s="85">
        <f>IF(K126=K125,D125,C126)</f>
        <v>28</v>
      </c>
      <c r="E126" s="85">
        <f>10+VALUE(RIGHT(LEFT(G126,3),1))</f>
        <v>14</v>
      </c>
      <c r="F126" s="85" t="str">
        <f>RIGHT(G126,2) &amp; IF(A126&lt;2,"x","")</f>
        <v>pm</v>
      </c>
      <c r="G126" s="85" t="s">
        <v>254</v>
      </c>
      <c r="H126" s="85" t="s">
        <v>186</v>
      </c>
      <c r="I126" s="85" t="s">
        <v>637</v>
      </c>
      <c r="K126" s="86">
        <f>LOOKUP(1E+100,M126:AB126)</f>
        <v>1995.4124922055146</v>
      </c>
      <c r="M126" s="86">
        <v>2200</v>
      </c>
      <c r="O126" s="85">
        <v>2053.0946682245371</v>
      </c>
      <c r="Q126" s="85">
        <v>1995.4124922055146</v>
      </c>
    </row>
    <row r="127" spans="1:18" x14ac:dyDescent="0.3">
      <c r="A127" s="85">
        <v>7</v>
      </c>
      <c r="C127" s="85">
        <f>IF(E127=E126,C126+1,1)</f>
        <v>29</v>
      </c>
      <c r="D127" s="85">
        <f>IF(K127=K126,D126,C127)</f>
        <v>29</v>
      </c>
      <c r="E127" s="85">
        <f>10+VALUE(RIGHT(LEFT(G127,3),1))</f>
        <v>14</v>
      </c>
      <c r="F127" s="85" t="str">
        <f>RIGHT(G127,2) &amp; IF(A127&lt;2,"x","")</f>
        <v>pm</v>
      </c>
      <c r="G127" s="85" t="s">
        <v>299</v>
      </c>
      <c r="H127" s="85" t="s">
        <v>153</v>
      </c>
      <c r="I127" s="85" t="s">
        <v>709</v>
      </c>
      <c r="K127" s="86">
        <f>LOOKUP(1E+100,M127:AB127)</f>
        <v>1938.161029583184</v>
      </c>
      <c r="M127" s="86">
        <v>1800</v>
      </c>
      <c r="N127" s="85">
        <v>1821.545773518581</v>
      </c>
      <c r="P127" s="85">
        <v>1887.3848284110888</v>
      </c>
      <c r="R127" s="85">
        <v>1938.161029583184</v>
      </c>
    </row>
    <row r="128" spans="1:18" x14ac:dyDescent="0.3">
      <c r="A128" s="85">
        <v>3</v>
      </c>
      <c r="C128" s="85">
        <f>IF(E128=E127,C127+1,1)</f>
        <v>30</v>
      </c>
      <c r="D128" s="85">
        <f>IF(K128=K127,D127,C128)</f>
        <v>30</v>
      </c>
      <c r="E128" s="85">
        <f>10+VALUE(RIGHT(LEFT(G128,3),1))</f>
        <v>14</v>
      </c>
      <c r="F128" s="85" t="str">
        <f>RIGHT(G128,2) &amp; IF(A128&lt;2,"x","")</f>
        <v>pm</v>
      </c>
      <c r="G128" s="85" t="s">
        <v>279</v>
      </c>
      <c r="H128" s="85" t="s">
        <v>235</v>
      </c>
      <c r="I128" s="85" t="s">
        <v>280</v>
      </c>
      <c r="K128" s="86">
        <f>LOOKUP(1E+100,M128:AB128)</f>
        <v>1925.4284841677352</v>
      </c>
      <c r="M128" s="86">
        <v>1866.6666666666667</v>
      </c>
      <c r="P128" s="85">
        <v>1925.4284841677352</v>
      </c>
    </row>
    <row r="129" spans="1:18" x14ac:dyDescent="0.3">
      <c r="A129" s="85">
        <v>3</v>
      </c>
      <c r="C129" s="85">
        <f>IF(E129=E128,C128+1,1)</f>
        <v>31</v>
      </c>
      <c r="D129" s="85">
        <f>IF(K129=K128,D128,C129)</f>
        <v>31</v>
      </c>
      <c r="E129" s="85">
        <f>10+VALUE(RIGHT(LEFT(G129,3),1))</f>
        <v>14</v>
      </c>
      <c r="F129" s="85" t="str">
        <f>RIGHT(G129,2) &amp; IF(A129&lt;2,"x","")</f>
        <v>pm</v>
      </c>
      <c r="G129" s="85" t="s">
        <v>286</v>
      </c>
      <c r="H129" s="85" t="s">
        <v>144</v>
      </c>
      <c r="I129" s="85" t="s">
        <v>285</v>
      </c>
      <c r="K129" s="86">
        <f>LOOKUP(1E+100,M129:AB129)</f>
        <v>1903.1265717512813</v>
      </c>
      <c r="M129" s="86">
        <v>1800</v>
      </c>
      <c r="N129" s="85">
        <v>1824.4592382938808</v>
      </c>
      <c r="P129" s="85">
        <v>1903.1265717512813</v>
      </c>
    </row>
    <row r="130" spans="1:18" x14ac:dyDescent="0.3">
      <c r="A130" s="85">
        <v>5</v>
      </c>
      <c r="C130" s="85">
        <f>IF(E130=E129,C129+1,1)</f>
        <v>32</v>
      </c>
      <c r="D130" s="85">
        <f>IF(K130=K129,D129,C130)</f>
        <v>32</v>
      </c>
      <c r="E130" s="85">
        <f>10+VALUE(RIGHT(LEFT(G130,3),1))</f>
        <v>14</v>
      </c>
      <c r="F130" s="85" t="str">
        <f>RIGHT(G130,2) &amp; IF(A130&lt;2,"x","")</f>
        <v>pm</v>
      </c>
      <c r="G130" s="85" t="s">
        <v>696</v>
      </c>
      <c r="H130" s="85" t="s">
        <v>175</v>
      </c>
      <c r="I130" s="85" t="s">
        <v>697</v>
      </c>
      <c r="K130" s="86">
        <f>LOOKUP(1E+100,M130:AB130)</f>
        <v>1891.9144582347276</v>
      </c>
      <c r="M130" s="86">
        <v>1800</v>
      </c>
      <c r="N130" s="85">
        <v>1889.3788535790063</v>
      </c>
      <c r="P130" s="85">
        <v>1891.9144582347276</v>
      </c>
    </row>
    <row r="131" spans="1:18" x14ac:dyDescent="0.3">
      <c r="A131" s="85">
        <v>4</v>
      </c>
      <c r="C131" s="85">
        <f>IF(E131=E130,C130+1,1)</f>
        <v>33</v>
      </c>
      <c r="D131" s="85">
        <f>IF(K131=K130,D130,C131)</f>
        <v>33</v>
      </c>
      <c r="E131" s="85">
        <f>10+VALUE(RIGHT(LEFT(G131,3),1))</f>
        <v>14</v>
      </c>
      <c r="F131" s="85" t="str">
        <f>RIGHT(G131,2) &amp; IF(A131&lt;2,"x","")</f>
        <v>pm</v>
      </c>
      <c r="G131" s="85" t="s">
        <v>678</v>
      </c>
      <c r="H131" s="85" t="s">
        <v>679</v>
      </c>
      <c r="I131" s="85" t="s">
        <v>680</v>
      </c>
      <c r="K131" s="86">
        <f>LOOKUP(1E+100,M131:AB131)</f>
        <v>1885.7182609507843</v>
      </c>
      <c r="M131" s="86">
        <v>1900</v>
      </c>
      <c r="P131" s="85">
        <v>1885.7182609507843</v>
      </c>
    </row>
    <row r="132" spans="1:18" x14ac:dyDescent="0.3">
      <c r="A132" s="85">
        <v>5</v>
      </c>
      <c r="C132" s="85">
        <f>IF(E132=E131,C131+1,1)</f>
        <v>34</v>
      </c>
      <c r="D132" s="85">
        <f>IF(K132=K131,D131,C132)</f>
        <v>34</v>
      </c>
      <c r="E132" s="85">
        <f>10+VALUE(RIGHT(LEFT(G132,3),1))</f>
        <v>14</v>
      </c>
      <c r="F132" s="85" t="str">
        <f>RIGHT(G132,2) &amp; IF(A132&lt;2,"x","")</f>
        <v>pm</v>
      </c>
      <c r="G132" s="85" t="s">
        <v>683</v>
      </c>
      <c r="H132" s="85" t="s">
        <v>308</v>
      </c>
      <c r="I132" s="85" t="s">
        <v>684</v>
      </c>
      <c r="K132" s="86">
        <f>LOOKUP(1E+100,M132:AB132)</f>
        <v>1849.2539219698931</v>
      </c>
      <c r="M132" s="86">
        <v>1880</v>
      </c>
      <c r="P132" s="85">
        <v>1866.0217818946253</v>
      </c>
      <c r="R132" s="85">
        <v>1849.2539219698931</v>
      </c>
    </row>
    <row r="133" spans="1:18" x14ac:dyDescent="0.3">
      <c r="A133" s="85">
        <v>2</v>
      </c>
      <c r="C133" s="85">
        <f>IF(E133=E132,C132+1,1)</f>
        <v>35</v>
      </c>
      <c r="D133" s="85">
        <f>IF(K133=K132,D132,C133)</f>
        <v>35</v>
      </c>
      <c r="E133" s="85">
        <f>10+VALUE(RIGHT(LEFT(G133,3),1))</f>
        <v>14</v>
      </c>
      <c r="F133" s="85" t="str">
        <f>RIGHT(G133,2) &amp; IF(A133&lt;2,"x","")</f>
        <v>pm</v>
      </c>
      <c r="G133" s="85" t="s">
        <v>674</v>
      </c>
      <c r="H133" s="85" t="s">
        <v>675</v>
      </c>
      <c r="I133" s="85" t="s">
        <v>676</v>
      </c>
      <c r="K133" s="86">
        <f>LOOKUP(1E+100,M133:AB133)</f>
        <v>1847.1241959091305</v>
      </c>
      <c r="M133" s="86">
        <v>2000</v>
      </c>
      <c r="P133" s="85">
        <v>1847.1241959091305</v>
      </c>
    </row>
    <row r="134" spans="1:18" x14ac:dyDescent="0.3">
      <c r="A134" s="85">
        <v>5</v>
      </c>
      <c r="C134" s="85">
        <f>IF(E134=E133,C133+1,1)</f>
        <v>36</v>
      </c>
      <c r="D134" s="85">
        <f>IF(K134=K133,D133,C134)</f>
        <v>36</v>
      </c>
      <c r="E134" s="85">
        <f>10+VALUE(RIGHT(LEFT(G134,3),1))</f>
        <v>14</v>
      </c>
      <c r="F134" s="85" t="str">
        <f>RIGHT(G134,2) &amp; IF(A134&lt;2,"x","")</f>
        <v>pm</v>
      </c>
      <c r="G134" s="85" t="s">
        <v>281</v>
      </c>
      <c r="H134" s="85" t="s">
        <v>549</v>
      </c>
      <c r="I134" s="85" t="s">
        <v>685</v>
      </c>
      <c r="K134" s="86">
        <f>LOOKUP(1E+100,M134:AB134)</f>
        <v>1847.1083510157146</v>
      </c>
      <c r="M134" s="86">
        <v>1880</v>
      </c>
      <c r="N134" s="85">
        <v>1847.1083510157146</v>
      </c>
    </row>
    <row r="135" spans="1:18" x14ac:dyDescent="0.3">
      <c r="A135" s="85">
        <v>5</v>
      </c>
      <c r="C135" s="85">
        <f>IF(E135=E134,C134+1,1)</f>
        <v>37</v>
      </c>
      <c r="D135" s="85">
        <f>IF(K135=K134,D134,C135)</f>
        <v>37</v>
      </c>
      <c r="E135" s="85">
        <f>10+VALUE(RIGHT(LEFT(G135,3),1))</f>
        <v>14</v>
      </c>
      <c r="F135" s="85" t="str">
        <f>RIGHT(G135,2) &amp; IF(A135&lt;2,"x","")</f>
        <v>pm</v>
      </c>
      <c r="G135" s="85" t="s">
        <v>307</v>
      </c>
      <c r="H135" s="85" t="s">
        <v>242</v>
      </c>
      <c r="I135" s="85" t="s">
        <v>686</v>
      </c>
      <c r="K135" s="86">
        <f>LOOKUP(1E+100,M135:AB135)</f>
        <v>1841.1200051186916</v>
      </c>
      <c r="M135" s="86">
        <v>1840</v>
      </c>
      <c r="P135" s="85">
        <v>1847.3357292555668</v>
      </c>
      <c r="R135" s="85">
        <v>1841.1200051186916</v>
      </c>
    </row>
    <row r="136" spans="1:18" x14ac:dyDescent="0.3">
      <c r="A136" s="85">
        <v>3</v>
      </c>
      <c r="C136" s="85">
        <f>IF(E136=E135,C135+1,1)</f>
        <v>38</v>
      </c>
      <c r="D136" s="85">
        <f>IF(K136=K135,D135,C136)</f>
        <v>38</v>
      </c>
      <c r="E136" s="85">
        <f>10+VALUE(RIGHT(LEFT(G136,3),1))</f>
        <v>14</v>
      </c>
      <c r="F136" s="85" t="str">
        <f>RIGHT(G136,2) &amp; IF(A136&lt;2,"x","")</f>
        <v>pm</v>
      </c>
      <c r="G136" s="85" t="s">
        <v>284</v>
      </c>
      <c r="H136" s="85" t="s">
        <v>144</v>
      </c>
      <c r="I136" s="85" t="s">
        <v>283</v>
      </c>
      <c r="K136" s="86">
        <f>LOOKUP(1E+100,M136:AB136)</f>
        <v>1833.0084799585911</v>
      </c>
      <c r="M136" s="86">
        <v>1800</v>
      </c>
      <c r="N136" s="85">
        <v>1778.3842920745774</v>
      </c>
      <c r="P136" s="85">
        <v>1833.0084799585911</v>
      </c>
    </row>
    <row r="137" spans="1:18" x14ac:dyDescent="0.3">
      <c r="A137" s="85">
        <v>4</v>
      </c>
      <c r="C137" s="85">
        <f>IF(E137=E136,C136+1,1)</f>
        <v>39</v>
      </c>
      <c r="D137" s="85">
        <f>IF(K137=K136,D136,C137)</f>
        <v>39</v>
      </c>
      <c r="E137" s="85">
        <f>10+VALUE(RIGHT(LEFT(G137,3),1))</f>
        <v>14</v>
      </c>
      <c r="F137" s="85" t="str">
        <f>RIGHT(G137,2) &amp; IF(A137&lt;2,"x","")</f>
        <v>pm</v>
      </c>
      <c r="G137" s="85" t="s">
        <v>698</v>
      </c>
      <c r="H137" s="85" t="s">
        <v>175</v>
      </c>
      <c r="I137" s="85" t="s">
        <v>699</v>
      </c>
      <c r="K137" s="86">
        <f>LOOKUP(1E+100,M137:AB137)</f>
        <v>1823.7998106301316</v>
      </c>
      <c r="M137" s="86">
        <v>1800</v>
      </c>
      <c r="P137" s="85">
        <v>1823.7998106301316</v>
      </c>
    </row>
    <row r="138" spans="1:18" x14ac:dyDescent="0.3">
      <c r="A138" s="85">
        <v>6</v>
      </c>
      <c r="C138" s="85">
        <f>IF(E138=E137,C137+1,1)</f>
        <v>40</v>
      </c>
      <c r="D138" s="85">
        <f>IF(K138=K137,D137,C138)</f>
        <v>40</v>
      </c>
      <c r="E138" s="85">
        <f>10+VALUE(RIGHT(LEFT(G138,3),1))</f>
        <v>14</v>
      </c>
      <c r="F138" s="85" t="str">
        <f>RIGHT(G138,2) &amp; IF(A138&lt;2,"x","")</f>
        <v>pm</v>
      </c>
      <c r="G138" s="85" t="s">
        <v>253</v>
      </c>
      <c r="H138" s="85" t="s">
        <v>186</v>
      </c>
      <c r="I138" s="85" t="s">
        <v>706</v>
      </c>
      <c r="K138" s="86">
        <f>LOOKUP(1E+100,M138:AB138)</f>
        <v>1811.1527197160931</v>
      </c>
      <c r="M138" s="86">
        <v>1800</v>
      </c>
      <c r="P138" s="85">
        <v>1768.1399790988805</v>
      </c>
      <c r="R138" s="85">
        <v>1811.1527197160931</v>
      </c>
    </row>
    <row r="139" spans="1:18" x14ac:dyDescent="0.3">
      <c r="A139" s="85">
        <v>2</v>
      </c>
      <c r="C139" s="85">
        <f>IF(E139=E138,C138+1,1)</f>
        <v>41</v>
      </c>
      <c r="D139" s="85">
        <f>IF(K139=K138,D138,C139)</f>
        <v>41</v>
      </c>
      <c r="E139" s="85">
        <f>10+VALUE(RIGHT(LEFT(G139,3),1))</f>
        <v>14</v>
      </c>
      <c r="F139" s="85" t="str">
        <f>RIGHT(G139,2) &amp; IF(A139&lt;2,"x","")</f>
        <v>pm</v>
      </c>
      <c r="G139" s="85" t="s">
        <v>712</v>
      </c>
      <c r="H139" s="85" t="s">
        <v>206</v>
      </c>
      <c r="I139" s="85" t="s">
        <v>713</v>
      </c>
      <c r="K139" s="86">
        <f>LOOKUP(1E+100,M139:AB139)</f>
        <v>1810.2573586424166</v>
      </c>
      <c r="M139" s="86">
        <v>1800</v>
      </c>
      <c r="P139" s="85">
        <v>1810.2573586424166</v>
      </c>
    </row>
    <row r="140" spans="1:18" x14ac:dyDescent="0.3">
      <c r="A140" s="85">
        <v>4</v>
      </c>
      <c r="C140" s="85">
        <f>IF(E140=E139,C139+1,1)</f>
        <v>42</v>
      </c>
      <c r="D140" s="85">
        <f>IF(K140=K139,D139,C140)</f>
        <v>42</v>
      </c>
      <c r="E140" s="85">
        <f>10+VALUE(RIGHT(LEFT(G140,3),1))</f>
        <v>14</v>
      </c>
      <c r="F140" s="85" t="str">
        <f>RIGHT(G140,2) &amp; IF(A140&lt;2,"x","")</f>
        <v>pm</v>
      </c>
      <c r="G140" s="85" t="s">
        <v>305</v>
      </c>
      <c r="H140" s="85" t="s">
        <v>562</v>
      </c>
      <c r="I140" s="85" t="s">
        <v>306</v>
      </c>
      <c r="K140" s="86">
        <f>LOOKUP(1E+100,M140:AB140)</f>
        <v>1808.9514445376726</v>
      </c>
      <c r="M140" s="86">
        <v>1800</v>
      </c>
      <c r="P140" s="85">
        <v>1830.0459906244043</v>
      </c>
      <c r="R140" s="85">
        <v>1808.9514445376726</v>
      </c>
    </row>
    <row r="141" spans="1:18" x14ac:dyDescent="0.3">
      <c r="A141" s="85">
        <v>4</v>
      </c>
      <c r="C141" s="85">
        <f>IF(E141=E140,C140+1,1)</f>
        <v>43</v>
      </c>
      <c r="D141" s="85">
        <f>IF(K141=K140,D140,C141)</f>
        <v>43</v>
      </c>
      <c r="E141" s="85">
        <f>10+VALUE(RIGHT(LEFT(G141,3),1))</f>
        <v>14</v>
      </c>
      <c r="F141" s="85" t="str">
        <f>RIGHT(G141,2) &amp; IF(A141&lt;2,"x","")</f>
        <v>pm</v>
      </c>
      <c r="G141" s="85" t="s">
        <v>700</v>
      </c>
      <c r="H141" s="85" t="s">
        <v>145</v>
      </c>
      <c r="I141" s="85" t="s">
        <v>701</v>
      </c>
      <c r="K141" s="86">
        <f>LOOKUP(1E+100,M141:AB141)</f>
        <v>1806.8060957823827</v>
      </c>
      <c r="M141" s="86">
        <v>1800</v>
      </c>
      <c r="N141" s="85">
        <v>1730.7050678538524</v>
      </c>
      <c r="P141" s="85">
        <v>1784.1499381650262</v>
      </c>
      <c r="R141" s="85">
        <v>1806.8060957823827</v>
      </c>
    </row>
    <row r="142" spans="1:18" x14ac:dyDescent="0.3">
      <c r="A142" s="85">
        <v>2</v>
      </c>
      <c r="C142" s="85">
        <f>IF(E142=E141,C141+1,1)</f>
        <v>44</v>
      </c>
      <c r="D142" s="85">
        <f>IF(K142=K141,D141,C142)</f>
        <v>44</v>
      </c>
      <c r="E142" s="85">
        <f>10+VALUE(RIGHT(LEFT(G142,3),1))</f>
        <v>14</v>
      </c>
      <c r="F142" s="85" t="str">
        <f>RIGHT(G142,2) &amp; IF(A142&lt;2,"x","")</f>
        <v>pm</v>
      </c>
      <c r="G142" s="85" t="s">
        <v>689</v>
      </c>
      <c r="H142" s="85" t="s">
        <v>515</v>
      </c>
      <c r="I142" s="85" t="s">
        <v>690</v>
      </c>
      <c r="K142" s="86">
        <f>LOOKUP(1E+100,M142:AB142)</f>
        <v>1800</v>
      </c>
      <c r="M142" s="86">
        <v>1800</v>
      </c>
    </row>
    <row r="143" spans="1:18" x14ac:dyDescent="0.3">
      <c r="A143" s="85">
        <v>3</v>
      </c>
      <c r="C143" s="85">
        <f>IF(E143=E142,C142+1,1)</f>
        <v>45</v>
      </c>
      <c r="D143" s="85">
        <f>IF(K143=K142,D142,C143)</f>
        <v>44</v>
      </c>
      <c r="E143" s="85">
        <f>10+VALUE(RIGHT(LEFT(G143,3),1))</f>
        <v>14</v>
      </c>
      <c r="F143" s="85" t="str">
        <f>RIGHT(G143,2) &amp; IF(A143&lt;2,"x","")</f>
        <v>pm</v>
      </c>
      <c r="G143" s="85" t="s">
        <v>694</v>
      </c>
      <c r="H143" s="85" t="s">
        <v>519</v>
      </c>
      <c r="I143" s="85" t="s">
        <v>695</v>
      </c>
      <c r="K143" s="86">
        <f>LOOKUP(1E+100,M143:AB143)</f>
        <v>1800</v>
      </c>
      <c r="M143" s="86">
        <v>1800</v>
      </c>
    </row>
    <row r="144" spans="1:18" x14ac:dyDescent="0.3">
      <c r="A144" s="85">
        <v>4</v>
      </c>
      <c r="C144" s="85">
        <f>IF(E144=E143,C143+1,1)</f>
        <v>46</v>
      </c>
      <c r="D144" s="85">
        <f>IF(K144=K143,D143,C144)</f>
        <v>46</v>
      </c>
      <c r="E144" s="85">
        <f>10+VALUE(RIGHT(LEFT(G144,3),1))</f>
        <v>14</v>
      </c>
      <c r="F144" s="85" t="str">
        <f>RIGHT(G144,2) &amp; IF(A144&lt;2,"x","")</f>
        <v>pm</v>
      </c>
      <c r="G144" s="85" t="s">
        <v>255</v>
      </c>
      <c r="H144" s="85" t="s">
        <v>150</v>
      </c>
      <c r="I144" s="85" t="s">
        <v>256</v>
      </c>
      <c r="K144" s="86">
        <f>LOOKUP(1E+100,M144:AB144)</f>
        <v>1785.9136433535382</v>
      </c>
      <c r="M144" s="86">
        <v>1800</v>
      </c>
      <c r="R144" s="85">
        <v>1785.9136433535382</v>
      </c>
    </row>
    <row r="145" spans="1:18" x14ac:dyDescent="0.3">
      <c r="A145" s="85">
        <v>7</v>
      </c>
      <c r="C145" s="85">
        <f>IF(E145=E144,C144+1,1)</f>
        <v>47</v>
      </c>
      <c r="D145" s="85">
        <f>IF(K145=K144,D144,C145)</f>
        <v>47</v>
      </c>
      <c r="E145" s="85">
        <f>10+VALUE(RIGHT(LEFT(G145,3),1))</f>
        <v>14</v>
      </c>
      <c r="F145" s="85" t="str">
        <f>RIGHT(G145,2) &amp; IF(A145&lt;2,"x","")</f>
        <v>pm</v>
      </c>
      <c r="G145" s="85" t="s">
        <v>289</v>
      </c>
      <c r="H145" s="85" t="s">
        <v>177</v>
      </c>
      <c r="I145" s="85" t="s">
        <v>290</v>
      </c>
      <c r="K145" s="86">
        <f>LOOKUP(1E+100,M145:AB145)</f>
        <v>1780.7398745438431</v>
      </c>
      <c r="M145" s="86">
        <v>1800</v>
      </c>
      <c r="N145" s="85">
        <v>1721.4653216549868</v>
      </c>
      <c r="P145" s="85">
        <v>1752.8007396123487</v>
      </c>
      <c r="R145" s="85">
        <v>1780.7398745438431</v>
      </c>
    </row>
    <row r="146" spans="1:18" x14ac:dyDescent="0.3">
      <c r="A146" s="85">
        <v>7</v>
      </c>
      <c r="C146" s="85">
        <f>IF(E146=E145,C145+1,1)</f>
        <v>48</v>
      </c>
      <c r="D146" s="85">
        <f>IF(K146=K145,D145,C146)</f>
        <v>48</v>
      </c>
      <c r="E146" s="85">
        <f>10+VALUE(RIGHT(LEFT(G146,3),1))</f>
        <v>14</v>
      </c>
      <c r="F146" s="85" t="str">
        <f>RIGHT(G146,2) &amp; IF(A146&lt;2,"x","")</f>
        <v>pm</v>
      </c>
      <c r="G146" s="85" t="s">
        <v>291</v>
      </c>
      <c r="H146" s="85" t="s">
        <v>177</v>
      </c>
      <c r="I146" s="85" t="s">
        <v>292</v>
      </c>
      <c r="K146" s="86">
        <f>LOOKUP(1E+100,M146:AB146)</f>
        <v>1775.4017276902916</v>
      </c>
      <c r="M146" s="86">
        <v>1800</v>
      </c>
      <c r="N146" s="85">
        <v>1748.298089197034</v>
      </c>
      <c r="P146" s="85">
        <v>1741.8980944244274</v>
      </c>
      <c r="R146" s="85">
        <v>1775.4017276902916</v>
      </c>
    </row>
    <row r="147" spans="1:18" x14ac:dyDescent="0.3">
      <c r="A147" s="85">
        <v>4</v>
      </c>
      <c r="C147" s="85">
        <f>IF(E147=E146,C146+1,1)</f>
        <v>49</v>
      </c>
      <c r="D147" s="85">
        <f>IF(K147=K146,D146,C147)</f>
        <v>49</v>
      </c>
      <c r="E147" s="85">
        <f>10+VALUE(RIGHT(LEFT(G147,3),1))</f>
        <v>14</v>
      </c>
      <c r="F147" s="85" t="str">
        <f>RIGHT(G147,2) &amp; IF(A147&lt;2,"x","")</f>
        <v>pm</v>
      </c>
      <c r="G147" s="85" t="s">
        <v>297</v>
      </c>
      <c r="H147" s="85" t="s">
        <v>182</v>
      </c>
      <c r="I147" s="85" t="s">
        <v>702</v>
      </c>
      <c r="K147" s="86">
        <f>LOOKUP(1E+100,M147:AB147)</f>
        <v>1771.2669066403137</v>
      </c>
      <c r="M147" s="86">
        <v>1800</v>
      </c>
      <c r="N147" s="85">
        <v>1811.7997841538452</v>
      </c>
      <c r="R147" s="85">
        <v>1771.2669066403137</v>
      </c>
    </row>
    <row r="148" spans="1:18" x14ac:dyDescent="0.3">
      <c r="A148" s="85">
        <v>6</v>
      </c>
      <c r="C148" s="85">
        <f>IF(E148=E147,C147+1,1)</f>
        <v>50</v>
      </c>
      <c r="D148" s="85">
        <f>IF(K148=K147,D147,C148)</f>
        <v>50</v>
      </c>
      <c r="E148" s="85">
        <f>10+VALUE(RIGHT(LEFT(G148,3),1))</f>
        <v>14</v>
      </c>
      <c r="F148" s="85" t="str">
        <f>RIGHT(G148,2) &amp; IF(A148&lt;2,"x","")</f>
        <v>pm</v>
      </c>
      <c r="G148" s="85" t="s">
        <v>691</v>
      </c>
      <c r="H148" s="85" t="s">
        <v>339</v>
      </c>
      <c r="I148" s="85" t="s">
        <v>692</v>
      </c>
      <c r="K148" s="86">
        <f>LOOKUP(1E+100,M148:AB148)</f>
        <v>1767.4262448973393</v>
      </c>
      <c r="M148" s="86">
        <v>1800</v>
      </c>
      <c r="N148" s="85">
        <v>1718.6611112438743</v>
      </c>
      <c r="P148" s="85">
        <v>1815.1521821289225</v>
      </c>
      <c r="R148" s="85">
        <v>1767.4262448973393</v>
      </c>
    </row>
    <row r="149" spans="1:18" x14ac:dyDescent="0.3">
      <c r="A149" s="85">
        <v>2</v>
      </c>
      <c r="C149" s="85">
        <f>IF(E149=E148,C148+1,1)</f>
        <v>51</v>
      </c>
      <c r="D149" s="85">
        <f>IF(K149=K148,D148,C149)</f>
        <v>51</v>
      </c>
      <c r="E149" s="85">
        <f>10+VALUE(RIGHT(LEFT(G149,3),1))</f>
        <v>14</v>
      </c>
      <c r="F149" s="85" t="str">
        <f>RIGHT(G149,2) &amp; IF(A149&lt;2,"x","")</f>
        <v>pm</v>
      </c>
      <c r="G149" s="85" t="s">
        <v>272</v>
      </c>
      <c r="H149" s="85" t="s">
        <v>206</v>
      </c>
      <c r="I149" s="85" t="s">
        <v>711</v>
      </c>
      <c r="K149" s="86">
        <f>LOOKUP(1E+100,M149:AB149)</f>
        <v>1766.0279354837069</v>
      </c>
      <c r="M149" s="86">
        <v>1800</v>
      </c>
      <c r="P149" s="85">
        <v>1766.0279354837069</v>
      </c>
    </row>
    <row r="150" spans="1:18" x14ac:dyDescent="0.3">
      <c r="A150" s="85">
        <v>3</v>
      </c>
      <c r="C150" s="85">
        <f>IF(E150=E149,C149+1,1)</f>
        <v>52</v>
      </c>
      <c r="D150" s="85">
        <f>IF(K150=K149,D149,C150)</f>
        <v>52</v>
      </c>
      <c r="E150" s="85">
        <f>10+VALUE(RIGHT(LEFT(G150,3),1))</f>
        <v>14</v>
      </c>
      <c r="F150" s="85" t="str">
        <f>RIGHT(G150,2) &amp; IF(A150&lt;2,"x","")</f>
        <v>pm</v>
      </c>
      <c r="G150" s="85" t="s">
        <v>693</v>
      </c>
      <c r="H150" s="85" t="s">
        <v>144</v>
      </c>
      <c r="I150" s="85" t="s">
        <v>287</v>
      </c>
      <c r="K150" s="86">
        <f>LOOKUP(1E+100,M150:AB150)</f>
        <v>1753.2138579630362</v>
      </c>
      <c r="M150" s="86">
        <v>1800</v>
      </c>
      <c r="P150" s="85">
        <v>1753.2138579630362</v>
      </c>
    </row>
    <row r="151" spans="1:18" x14ac:dyDescent="0.3">
      <c r="A151" s="85">
        <v>6</v>
      </c>
      <c r="C151" s="85">
        <f>IF(E151=E150,C150+1,1)</f>
        <v>53</v>
      </c>
      <c r="D151" s="85">
        <f>IF(K151=K150,D150,C151)</f>
        <v>53</v>
      </c>
      <c r="E151" s="85">
        <f>10+VALUE(RIGHT(LEFT(G151,3),1))</f>
        <v>14</v>
      </c>
      <c r="F151" s="85" t="str">
        <f>RIGHT(G151,2) &amp; IF(A151&lt;2,"x","")</f>
        <v>pm</v>
      </c>
      <c r="G151" s="85" t="s">
        <v>298</v>
      </c>
      <c r="H151" s="85" t="s">
        <v>186</v>
      </c>
      <c r="I151" s="85" t="s">
        <v>705</v>
      </c>
      <c r="K151" s="86">
        <f>LOOKUP(1E+100,M151:AB151)</f>
        <v>1752.5004295235969</v>
      </c>
      <c r="M151" s="86">
        <v>1800</v>
      </c>
      <c r="P151" s="85">
        <v>1751.778292751929</v>
      </c>
      <c r="R151" s="85">
        <v>1752.5004295235969</v>
      </c>
    </row>
    <row r="152" spans="1:18" x14ac:dyDescent="0.3">
      <c r="A152" s="85">
        <v>7</v>
      </c>
      <c r="C152" s="85">
        <f>IF(E152=E151,C151+1,1)</f>
        <v>54</v>
      </c>
      <c r="D152" s="85">
        <f>IF(K152=K151,D151,C152)</f>
        <v>54</v>
      </c>
      <c r="E152" s="85">
        <f>10+VALUE(RIGHT(LEFT(G152,3),1))</f>
        <v>14</v>
      </c>
      <c r="F152" s="85" t="str">
        <f>RIGHT(G152,2) &amp; IF(A152&lt;2,"x","")</f>
        <v>pm</v>
      </c>
      <c r="G152" s="85" t="s">
        <v>300</v>
      </c>
      <c r="H152" s="85" t="s">
        <v>167</v>
      </c>
      <c r="I152" s="85" t="s">
        <v>301</v>
      </c>
      <c r="K152" s="86">
        <f>LOOKUP(1E+100,M152:AB152)</f>
        <v>1744.9311551359685</v>
      </c>
      <c r="M152" s="86">
        <v>1857.1428571428571</v>
      </c>
      <c r="P152" s="85">
        <v>1762.9452068718263</v>
      </c>
      <c r="R152" s="85">
        <v>1744.9311551359685</v>
      </c>
    </row>
    <row r="153" spans="1:18" x14ac:dyDescent="0.3">
      <c r="A153" s="85">
        <v>6</v>
      </c>
      <c r="C153" s="85">
        <f>IF(E153=E152,C152+1,1)</f>
        <v>55</v>
      </c>
      <c r="D153" s="85">
        <f>IF(K153=K152,D152,C153)</f>
        <v>55</v>
      </c>
      <c r="E153" s="85">
        <f>10+VALUE(RIGHT(LEFT(G153,3),1))</f>
        <v>14</v>
      </c>
      <c r="F153" s="85" t="str">
        <f>RIGHT(G153,2) &amp; IF(A153&lt;2,"x","")</f>
        <v>pm</v>
      </c>
      <c r="G153" s="85" t="s">
        <v>295</v>
      </c>
      <c r="H153" s="85" t="s">
        <v>526</v>
      </c>
      <c r="I153" s="85" t="s">
        <v>296</v>
      </c>
      <c r="K153" s="86">
        <f>LOOKUP(1E+100,M153:AB153)</f>
        <v>1706.694063736214</v>
      </c>
      <c r="M153" s="86">
        <v>1800</v>
      </c>
      <c r="P153" s="85">
        <v>1761.038353768434</v>
      </c>
      <c r="R153" s="85">
        <v>1706.694063736214</v>
      </c>
    </row>
    <row r="154" spans="1:18" x14ac:dyDescent="0.3">
      <c r="A154" s="85">
        <v>6</v>
      </c>
      <c r="C154" s="85">
        <f>IF(E154=E153,C153+1,1)</f>
        <v>56</v>
      </c>
      <c r="D154" s="85">
        <f>IF(K154=K153,D153,C154)</f>
        <v>56</v>
      </c>
      <c r="E154" s="85">
        <f>10+VALUE(RIGHT(LEFT(G154,3),1))</f>
        <v>14</v>
      </c>
      <c r="F154" s="85" t="str">
        <f>RIGHT(G154,2) &amp; IF(A154&lt;2,"x","")</f>
        <v>pm</v>
      </c>
      <c r="G154" s="85" t="s">
        <v>707</v>
      </c>
      <c r="H154" s="85" t="s">
        <v>186</v>
      </c>
      <c r="I154" s="85" t="s">
        <v>708</v>
      </c>
      <c r="K154" s="86">
        <f>LOOKUP(1E+100,M154:AB154)</f>
        <v>1702.6419240174203</v>
      </c>
      <c r="M154" s="86">
        <v>1800</v>
      </c>
      <c r="P154" s="85">
        <v>1745.9218651374065</v>
      </c>
      <c r="R154" s="85">
        <v>1702.6419240174203</v>
      </c>
    </row>
    <row r="155" spans="1:18" x14ac:dyDescent="0.3">
      <c r="A155" s="85">
        <v>5</v>
      </c>
      <c r="C155" s="85">
        <f>IF(E155=E154,C154+1,1)</f>
        <v>57</v>
      </c>
      <c r="D155" s="85">
        <f>IF(K155=K154,D154,C155)</f>
        <v>57</v>
      </c>
      <c r="E155" s="85">
        <f>10+VALUE(RIGHT(LEFT(G155,3),1))</f>
        <v>14</v>
      </c>
      <c r="F155" s="85" t="str">
        <f>RIGHT(G155,2) &amp; IF(A155&lt;2,"x","")</f>
        <v>pm</v>
      </c>
      <c r="G155" s="85" t="s">
        <v>259</v>
      </c>
      <c r="H155" s="85" t="s">
        <v>258</v>
      </c>
      <c r="I155" s="85" t="s">
        <v>710</v>
      </c>
      <c r="K155" s="86">
        <f>LOOKUP(1E+100,M155:AB155)</f>
        <v>1692.7325724666443</v>
      </c>
      <c r="M155" s="86">
        <v>1800</v>
      </c>
      <c r="N155" s="85">
        <v>1732.6432403106687</v>
      </c>
      <c r="P155" s="85">
        <v>1728.6570245875689</v>
      </c>
      <c r="R155" s="85">
        <v>1692.7325724666443</v>
      </c>
    </row>
    <row r="156" spans="1:18" x14ac:dyDescent="0.3">
      <c r="A156" s="85">
        <v>4</v>
      </c>
      <c r="C156" s="85">
        <f>IF(E156=E155,C155+1,1)</f>
        <v>58</v>
      </c>
      <c r="D156" s="85">
        <f>IF(K156=K155,D155,C156)</f>
        <v>58</v>
      </c>
      <c r="E156" s="85">
        <f>10+VALUE(RIGHT(LEFT(G156,3),1))</f>
        <v>14</v>
      </c>
      <c r="F156" s="85" t="str">
        <f>RIGHT(G156,2) &amp; IF(A156&lt;2,"x","")</f>
        <v>pm</v>
      </c>
      <c r="G156" s="85" t="s">
        <v>293</v>
      </c>
      <c r="H156" s="85" t="s">
        <v>177</v>
      </c>
      <c r="I156" s="85" t="s">
        <v>294</v>
      </c>
      <c r="K156" s="86">
        <f>LOOKUP(1E+100,M156:AB156)</f>
        <v>1598.9501464948451</v>
      </c>
      <c r="M156" s="86">
        <v>1800</v>
      </c>
      <c r="P156" s="85">
        <v>1678.3981971538039</v>
      </c>
      <c r="R156" s="85">
        <v>1598.9501464948451</v>
      </c>
    </row>
    <row r="157" spans="1:18" x14ac:dyDescent="0.3">
      <c r="A157" s="85">
        <v>7</v>
      </c>
      <c r="C157" s="85">
        <f>IF(E157=E156,C156+1,1)</f>
        <v>59</v>
      </c>
      <c r="D157" s="85">
        <f>IF(K157=K156,D156,C157)</f>
        <v>59</v>
      </c>
      <c r="E157" s="85">
        <f>10+VALUE(RIGHT(LEFT(G157,3),1))</f>
        <v>14</v>
      </c>
      <c r="F157" s="85" t="str">
        <f>RIGHT(G157,2) &amp; IF(A157&lt;2,"x","")</f>
        <v>pm</v>
      </c>
      <c r="G157" s="85" t="s">
        <v>703</v>
      </c>
      <c r="H157" s="85" t="s">
        <v>342</v>
      </c>
      <c r="I157" s="85" t="s">
        <v>704</v>
      </c>
      <c r="K157" s="86">
        <f>LOOKUP(1E+100,M157:AB157)</f>
        <v>1570.785810097577</v>
      </c>
      <c r="M157" s="86">
        <v>1800</v>
      </c>
      <c r="N157" s="85">
        <v>1682.2582324305545</v>
      </c>
      <c r="P157" s="85">
        <v>1602.9288959944686</v>
      </c>
      <c r="R157" s="85">
        <v>1570.785810097577</v>
      </c>
    </row>
    <row r="158" spans="1:18" x14ac:dyDescent="0.3">
      <c r="A158" s="85">
        <v>5</v>
      </c>
      <c r="C158" s="85">
        <f>IF(E158=E157,C157+1,1)</f>
        <v>1</v>
      </c>
      <c r="D158" s="85">
        <f>IF(K158=K157,D157,C158)</f>
        <v>1</v>
      </c>
      <c r="E158" s="85">
        <f>10+VALUE(RIGHT(LEFT(G158,3),1))</f>
        <v>15</v>
      </c>
      <c r="F158" s="85" t="str">
        <f>RIGHT(G158,2) &amp; IF(A158&lt;2,"x","")</f>
        <v>pm</v>
      </c>
      <c r="G158" s="85" t="s">
        <v>338</v>
      </c>
      <c r="H158" s="85" t="s">
        <v>549</v>
      </c>
      <c r="I158" s="85" t="s">
        <v>792</v>
      </c>
      <c r="K158" s="86">
        <f>LOOKUP(1E+100,M158:AB158)</f>
        <v>2552.8010634539187</v>
      </c>
      <c r="M158" s="86">
        <v>2320</v>
      </c>
      <c r="N158" s="85">
        <v>2443.7279493714677</v>
      </c>
      <c r="R158" s="85">
        <v>2552.8010634539187</v>
      </c>
    </row>
    <row r="159" spans="1:18" x14ac:dyDescent="0.3">
      <c r="A159" s="85">
        <v>2</v>
      </c>
      <c r="C159" s="85">
        <f>IF(E159=E158,C158+1,1)</f>
        <v>2</v>
      </c>
      <c r="D159" s="85">
        <f>IF(K159=K158,D158,C159)</f>
        <v>2</v>
      </c>
      <c r="E159" s="85">
        <f>10+VALUE(RIGHT(LEFT(G159,3),1))</f>
        <v>15</v>
      </c>
      <c r="F159" s="85" t="str">
        <f>RIGHT(G159,2) &amp; IF(A159&lt;2,"x","")</f>
        <v>pm</v>
      </c>
      <c r="G159" s="85" t="s">
        <v>350</v>
      </c>
      <c r="H159" s="85" t="s">
        <v>502</v>
      </c>
      <c r="I159" s="85" t="s">
        <v>775</v>
      </c>
      <c r="K159" s="86">
        <f>LOOKUP(1E+100,M159:AB159)</f>
        <v>2508.7708076017111</v>
      </c>
      <c r="M159" s="86">
        <v>2400</v>
      </c>
      <c r="Q159" s="85">
        <v>2508.7708076017111</v>
      </c>
    </row>
    <row r="160" spans="1:18" x14ac:dyDescent="0.3">
      <c r="A160" s="85">
        <v>2</v>
      </c>
      <c r="C160" s="85">
        <f>IF(E160=E159,C159+1,1)</f>
        <v>3</v>
      </c>
      <c r="D160" s="85">
        <f>IF(K160=K159,D159,C160)</f>
        <v>3</v>
      </c>
      <c r="E160" s="85">
        <f>10+VALUE(RIGHT(LEFT(G160,3),1))</f>
        <v>15</v>
      </c>
      <c r="F160" s="85" t="str">
        <f>RIGHT(G160,2) &amp; IF(A160&lt;2,"x","")</f>
        <v>pm</v>
      </c>
      <c r="G160" s="85" t="s">
        <v>763</v>
      </c>
      <c r="H160" s="85" t="s">
        <v>258</v>
      </c>
      <c r="I160" s="85" t="s">
        <v>764</v>
      </c>
      <c r="K160" s="86">
        <f>LOOKUP(1E+100,M160:AB160)</f>
        <v>2490.4097268780183</v>
      </c>
      <c r="M160" s="86">
        <v>2400</v>
      </c>
      <c r="P160" s="85">
        <v>2490.4097268780183</v>
      </c>
    </row>
    <row r="161" spans="1:17" x14ac:dyDescent="0.3">
      <c r="A161" s="85">
        <v>5</v>
      </c>
      <c r="C161" s="85">
        <f>IF(E161=E160,C160+1,1)</f>
        <v>4</v>
      </c>
      <c r="D161" s="85">
        <f>IF(K161=K160,D160,C161)</f>
        <v>4</v>
      </c>
      <c r="E161" s="85">
        <f>10+VALUE(RIGHT(LEFT(G161,3),1))</f>
        <v>15</v>
      </c>
      <c r="F161" s="85" t="str">
        <f>RIGHT(G161,2) &amp; IF(A161&lt;2,"x","")</f>
        <v>pm</v>
      </c>
      <c r="G161" s="85" t="s">
        <v>316</v>
      </c>
      <c r="H161" s="85" t="s">
        <v>177</v>
      </c>
      <c r="I161" s="85" t="s">
        <v>317</v>
      </c>
      <c r="K161" s="86">
        <f>LOOKUP(1E+100,M161:AB161)</f>
        <v>2488.6021924687675</v>
      </c>
      <c r="M161" s="86">
        <v>2400</v>
      </c>
      <c r="P161" s="85">
        <v>2471.4438748412722</v>
      </c>
      <c r="Q161" s="85">
        <v>2488.6021924687675</v>
      </c>
    </row>
    <row r="162" spans="1:17" x14ac:dyDescent="0.3">
      <c r="A162" s="85">
        <v>2</v>
      </c>
      <c r="C162" s="85">
        <f>IF(E162=E161,C161+1,1)</f>
        <v>5</v>
      </c>
      <c r="D162" s="85">
        <f>IF(K162=K161,D161,C162)</f>
        <v>5</v>
      </c>
      <c r="E162" s="85">
        <f>10+VALUE(RIGHT(LEFT(G162,3),1))</f>
        <v>15</v>
      </c>
      <c r="F162" s="85" t="str">
        <f>RIGHT(G162,2) &amp; IF(A162&lt;2,"x","")</f>
        <v>pm</v>
      </c>
      <c r="G162" s="85" t="s">
        <v>309</v>
      </c>
      <c r="H162" s="85" t="s">
        <v>144</v>
      </c>
      <c r="I162" s="85" t="s">
        <v>310</v>
      </c>
      <c r="K162" s="86">
        <f>LOOKUP(1E+100,M162:AB162)</f>
        <v>2484.3590950265307</v>
      </c>
      <c r="M162" s="86">
        <v>2400</v>
      </c>
      <c r="Q162" s="85">
        <v>2484.3590950265307</v>
      </c>
    </row>
    <row r="163" spans="1:17" x14ac:dyDescent="0.3">
      <c r="A163" s="85">
        <v>4</v>
      </c>
      <c r="C163" s="85">
        <f>IF(E163=E162,C162+1,1)</f>
        <v>6</v>
      </c>
      <c r="D163" s="85">
        <f>IF(K163=K162,D162,C163)</f>
        <v>6</v>
      </c>
      <c r="E163" s="85">
        <f>10+VALUE(RIGHT(LEFT(G163,3),1))</f>
        <v>15</v>
      </c>
      <c r="F163" s="85" t="str">
        <f>RIGHT(G163,2) &amp; IF(A163&lt;2,"x","")</f>
        <v>pm</v>
      </c>
      <c r="G163" s="85" t="s">
        <v>328</v>
      </c>
      <c r="H163" s="85" t="s">
        <v>167</v>
      </c>
      <c r="I163" s="85" t="s">
        <v>329</v>
      </c>
      <c r="K163" s="86">
        <f>LOOKUP(1E+100,M163:AB163)</f>
        <v>2474.1279688846307</v>
      </c>
      <c r="M163" s="86">
        <v>2400</v>
      </c>
      <c r="Q163" s="85">
        <v>2474.1279688846307</v>
      </c>
    </row>
    <row r="164" spans="1:17" x14ac:dyDescent="0.3">
      <c r="A164" s="85">
        <v>2</v>
      </c>
      <c r="C164" s="85">
        <f>IF(E164=E163,C163+1,1)</f>
        <v>7</v>
      </c>
      <c r="D164" s="85">
        <f>IF(K164=K163,D163,C164)</f>
        <v>7</v>
      </c>
      <c r="E164" s="85">
        <f>10+VALUE(RIGHT(LEFT(G164,3),1))</f>
        <v>15</v>
      </c>
      <c r="F164" s="85" t="str">
        <f>RIGHT(G164,2) &amp; IF(A164&lt;2,"x","")</f>
        <v>pm</v>
      </c>
      <c r="G164" s="85" t="s">
        <v>769</v>
      </c>
      <c r="H164" s="85" t="s">
        <v>534</v>
      </c>
      <c r="I164" s="85" t="s">
        <v>770</v>
      </c>
      <c r="K164" s="86">
        <f>LOOKUP(1E+100,M164:AB164)</f>
        <v>2470.2950301901274</v>
      </c>
      <c r="M164" s="86">
        <v>2400</v>
      </c>
      <c r="Q164" s="85">
        <v>2470.2950301901274</v>
      </c>
    </row>
    <row r="165" spans="1:17" x14ac:dyDescent="0.3">
      <c r="A165" s="85">
        <v>2</v>
      </c>
      <c r="C165" s="85">
        <f>IF(E165=E164,C164+1,1)</f>
        <v>8</v>
      </c>
      <c r="D165" s="85">
        <f>IF(K165=K164,D164,C165)</f>
        <v>8</v>
      </c>
      <c r="E165" s="85">
        <f>10+VALUE(RIGHT(LEFT(G165,3),1))</f>
        <v>15</v>
      </c>
      <c r="F165" s="85" t="str">
        <f>RIGHT(G165,2) &amp; IF(A165&lt;2,"x","")</f>
        <v>pm</v>
      </c>
      <c r="G165" s="85" t="s">
        <v>327</v>
      </c>
      <c r="H165" s="85" t="s">
        <v>497</v>
      </c>
      <c r="I165" s="85" t="s">
        <v>767</v>
      </c>
      <c r="K165" s="86">
        <f>LOOKUP(1E+100,M165:AB165)</f>
        <v>2441.7454081852825</v>
      </c>
      <c r="M165" s="86">
        <v>2400</v>
      </c>
      <c r="P165" s="85">
        <v>2468.9034180624526</v>
      </c>
      <c r="Q165" s="85">
        <v>2441.7454081852825</v>
      </c>
    </row>
    <row r="166" spans="1:17" x14ac:dyDescent="0.3">
      <c r="A166" s="85">
        <v>4</v>
      </c>
      <c r="C166" s="85">
        <f>IF(E166=E165,C165+1,1)</f>
        <v>9</v>
      </c>
      <c r="D166" s="85">
        <f>IF(K166=K165,D165,C166)</f>
        <v>9</v>
      </c>
      <c r="E166" s="85">
        <f>10+VALUE(RIGHT(LEFT(G166,3),1))</f>
        <v>15</v>
      </c>
      <c r="F166" s="85" t="str">
        <f>RIGHT(G166,2) &amp; IF(A166&lt;2,"x","")</f>
        <v>pm</v>
      </c>
      <c r="G166" s="85" t="s">
        <v>311</v>
      </c>
      <c r="H166" s="85" t="s">
        <v>144</v>
      </c>
      <c r="I166" s="85" t="s">
        <v>312</v>
      </c>
      <c r="K166" s="86">
        <f>LOOKUP(1E+100,M166:AB166)</f>
        <v>2441.2340844359674</v>
      </c>
      <c r="M166" s="86">
        <v>2400</v>
      </c>
      <c r="P166" s="85">
        <v>2441.2340844359674</v>
      </c>
    </row>
    <row r="167" spans="1:17" x14ac:dyDescent="0.3">
      <c r="A167" s="85">
        <v>3</v>
      </c>
      <c r="C167" s="85">
        <f>IF(E167=E166,C166+1,1)</f>
        <v>10</v>
      </c>
      <c r="D167" s="85">
        <f>IF(K167=K166,D166,C167)</f>
        <v>10</v>
      </c>
      <c r="E167" s="85">
        <f>10+VALUE(RIGHT(LEFT(G167,3),1))</f>
        <v>15</v>
      </c>
      <c r="F167" s="85" t="str">
        <f>RIGHT(G167,2) &amp; IF(A167&lt;2,"x","")</f>
        <v>pm</v>
      </c>
      <c r="G167" s="85" t="s">
        <v>335</v>
      </c>
      <c r="H167" s="85" t="s">
        <v>159</v>
      </c>
      <c r="I167" s="85" t="s">
        <v>791</v>
      </c>
      <c r="K167" s="86">
        <f>LOOKUP(1E+100,M167:AB167)</f>
        <v>2421.6337699850151</v>
      </c>
      <c r="M167" s="86">
        <v>2333.3333333333335</v>
      </c>
      <c r="O167" s="85">
        <v>2421.6337699850151</v>
      </c>
    </row>
    <row r="168" spans="1:17" x14ac:dyDescent="0.3">
      <c r="A168" s="85">
        <v>2</v>
      </c>
      <c r="C168" s="85">
        <f>IF(E168=E167,C167+1,1)</f>
        <v>11</v>
      </c>
      <c r="D168" s="85">
        <f>IF(K168=K167,D167,C168)</f>
        <v>11</v>
      </c>
      <c r="E168" s="85">
        <f>10+VALUE(RIGHT(LEFT(G168,3),1))</f>
        <v>15</v>
      </c>
      <c r="F168" s="85" t="str">
        <f>RIGHT(G168,2) &amp; IF(A168&lt;2,"x","")</f>
        <v>pm</v>
      </c>
      <c r="G168" s="85" t="s">
        <v>750</v>
      </c>
      <c r="H168" s="85" t="s">
        <v>175</v>
      </c>
      <c r="I168" s="85" t="s">
        <v>751</v>
      </c>
      <c r="K168" s="86">
        <f>LOOKUP(1E+100,M168:AB168)</f>
        <v>2417.874790352118</v>
      </c>
      <c r="M168" s="86">
        <v>2400</v>
      </c>
      <c r="P168" s="85">
        <v>2417.874790352118</v>
      </c>
    </row>
    <row r="169" spans="1:17" x14ac:dyDescent="0.3">
      <c r="A169" s="85">
        <v>2</v>
      </c>
      <c r="C169" s="85">
        <f>IF(E169=E168,C168+1,1)</f>
        <v>12</v>
      </c>
      <c r="D169" s="85">
        <f>IF(K169=K168,D168,C169)</f>
        <v>12</v>
      </c>
      <c r="E169" s="85">
        <f>10+VALUE(RIGHT(LEFT(G169,3),1))</f>
        <v>15</v>
      </c>
      <c r="F169" s="85" t="str">
        <f>RIGHT(G169,2) &amp; IF(A169&lt;2,"x","")</f>
        <v>pm</v>
      </c>
      <c r="G169" s="85" t="s">
        <v>324</v>
      </c>
      <c r="H169" s="85" t="s">
        <v>163</v>
      </c>
      <c r="I169" s="85" t="s">
        <v>325</v>
      </c>
      <c r="K169" s="86">
        <f>LOOKUP(1E+100,M169:AB169)</f>
        <v>2416.6605637058615</v>
      </c>
      <c r="M169" s="86">
        <v>2400</v>
      </c>
      <c r="Q169" s="85">
        <v>2416.6605637058615</v>
      </c>
    </row>
    <row r="170" spans="1:17" x14ac:dyDescent="0.3">
      <c r="A170" s="85">
        <v>7</v>
      </c>
      <c r="C170" s="85">
        <f>IF(E170=E169,C169+1,1)</f>
        <v>13</v>
      </c>
      <c r="D170" s="85">
        <f>IF(K170=K169,D169,C170)</f>
        <v>13</v>
      </c>
      <c r="E170" s="85">
        <f>10+VALUE(RIGHT(LEFT(G170,3),1))</f>
        <v>15</v>
      </c>
      <c r="F170" s="85" t="str">
        <f>RIGHT(G170,2) &amp; IF(A170&lt;2,"x","")</f>
        <v>pm</v>
      </c>
      <c r="G170" s="85" t="s">
        <v>321</v>
      </c>
      <c r="H170" s="85" t="s">
        <v>153</v>
      </c>
      <c r="I170" s="85" t="s">
        <v>762</v>
      </c>
      <c r="K170" s="86">
        <f>LOOKUP(1E+100,M170:AB170)</f>
        <v>2403.0230635787598</v>
      </c>
      <c r="M170" s="86">
        <v>2400</v>
      </c>
      <c r="O170" s="85">
        <v>2440.2205530331553</v>
      </c>
      <c r="P170" s="85">
        <v>2407.569219000482</v>
      </c>
      <c r="Q170" s="85">
        <v>2403.0230635787598</v>
      </c>
    </row>
    <row r="171" spans="1:17" x14ac:dyDescent="0.3">
      <c r="A171" s="85">
        <v>3</v>
      </c>
      <c r="C171" s="85">
        <f>IF(E171=E170,C170+1,1)</f>
        <v>14</v>
      </c>
      <c r="D171" s="85">
        <f>IF(K171=K170,D170,C171)</f>
        <v>14</v>
      </c>
      <c r="E171" s="85">
        <f>10+VALUE(RIGHT(LEFT(G171,3),1))</f>
        <v>15</v>
      </c>
      <c r="F171" s="85" t="str">
        <f>RIGHT(G171,2) &amp; IF(A171&lt;2,"x","")</f>
        <v>pm</v>
      </c>
      <c r="G171" s="85" t="s">
        <v>318</v>
      </c>
      <c r="H171" s="85" t="s">
        <v>186</v>
      </c>
      <c r="I171" s="85" t="s">
        <v>752</v>
      </c>
      <c r="K171" s="86">
        <f>LOOKUP(1E+100,M171:AB171)</f>
        <v>2400</v>
      </c>
      <c r="M171" s="86">
        <v>2400</v>
      </c>
    </row>
    <row r="172" spans="1:17" x14ac:dyDescent="0.3">
      <c r="A172" s="85">
        <v>3</v>
      </c>
      <c r="C172" s="85">
        <f>IF(E172=E171,C171+1,1)</f>
        <v>15</v>
      </c>
      <c r="D172" s="85">
        <f>IF(K172=K171,D171,C172)</f>
        <v>14</v>
      </c>
      <c r="E172" s="85">
        <f>10+VALUE(RIGHT(LEFT(G172,3),1))</f>
        <v>15</v>
      </c>
      <c r="F172" s="85" t="str">
        <f>RIGHT(G172,2) &amp; IF(A172&lt;2,"x","")</f>
        <v>pm</v>
      </c>
      <c r="G172" s="85" t="s">
        <v>319</v>
      </c>
      <c r="H172" s="85" t="s">
        <v>186</v>
      </c>
      <c r="I172" s="85" t="s">
        <v>753</v>
      </c>
      <c r="K172" s="86">
        <f>LOOKUP(1E+100,M172:AB172)</f>
        <v>2400</v>
      </c>
      <c r="M172" s="86">
        <v>2400</v>
      </c>
    </row>
    <row r="173" spans="1:17" x14ac:dyDescent="0.3">
      <c r="A173" s="85">
        <v>2</v>
      </c>
      <c r="C173" s="85">
        <f>IF(E173=E172,C172+1,1)</f>
        <v>16</v>
      </c>
      <c r="D173" s="85">
        <f>IF(K173=K172,D172,C173)</f>
        <v>14</v>
      </c>
      <c r="E173" s="85">
        <f>10+VALUE(RIGHT(LEFT(G173,3),1))</f>
        <v>15</v>
      </c>
      <c r="F173" s="85" t="str">
        <f>RIGHT(G173,2) &amp; IF(A173&lt;2,"x","")</f>
        <v>pm</v>
      </c>
      <c r="G173" s="85" t="s">
        <v>771</v>
      </c>
      <c r="H173" s="85" t="s">
        <v>500</v>
      </c>
      <c r="I173" s="85" t="s">
        <v>772</v>
      </c>
      <c r="K173" s="86">
        <f>LOOKUP(1E+100,M173:AB173)</f>
        <v>2400</v>
      </c>
      <c r="M173" s="86">
        <v>2400</v>
      </c>
    </row>
    <row r="174" spans="1:17" x14ac:dyDescent="0.3">
      <c r="A174" s="85">
        <v>2</v>
      </c>
      <c r="C174" s="85">
        <f>IF(E174=E173,C173+1,1)</f>
        <v>17</v>
      </c>
      <c r="D174" s="85">
        <f>IF(K174=K173,D173,C174)</f>
        <v>14</v>
      </c>
      <c r="E174" s="85">
        <f>10+VALUE(RIGHT(LEFT(G174,3),1))</f>
        <v>15</v>
      </c>
      <c r="F174" s="85" t="str">
        <f>RIGHT(G174,2) &amp; IF(A174&lt;2,"x","")</f>
        <v>pm</v>
      </c>
      <c r="G174" s="85" t="s">
        <v>334</v>
      </c>
      <c r="H174" s="85" t="s">
        <v>159</v>
      </c>
      <c r="I174" s="85" t="s">
        <v>336</v>
      </c>
      <c r="K174" s="86">
        <f>LOOKUP(1E+100,M174:AB174)</f>
        <v>2400</v>
      </c>
      <c r="M174" s="86">
        <v>2400</v>
      </c>
    </row>
    <row r="175" spans="1:17" x14ac:dyDescent="0.3">
      <c r="A175" s="85">
        <v>4</v>
      </c>
      <c r="C175" s="85">
        <f>IF(E175=E174,C174+1,1)</f>
        <v>18</v>
      </c>
      <c r="D175" s="85">
        <f>IF(K175=K174,D174,C175)</f>
        <v>18</v>
      </c>
      <c r="E175" s="85">
        <f>10+VALUE(RIGHT(LEFT(G175,3),1))</f>
        <v>15</v>
      </c>
      <c r="F175" s="85" t="str">
        <f>RIGHT(G175,2) &amp; IF(A175&lt;2,"x","")</f>
        <v>pm</v>
      </c>
      <c r="G175" s="85" t="s">
        <v>320</v>
      </c>
      <c r="H175" s="85" t="s">
        <v>186</v>
      </c>
      <c r="I175" s="85" t="s">
        <v>754</v>
      </c>
      <c r="K175" s="86">
        <f>LOOKUP(1E+100,M175:AB175)</f>
        <v>2393.1790713515361</v>
      </c>
      <c r="M175" s="86">
        <v>2400</v>
      </c>
      <c r="O175" s="85">
        <v>2393.1790713515361</v>
      </c>
    </row>
    <row r="176" spans="1:17" x14ac:dyDescent="0.3">
      <c r="A176" s="85">
        <v>3</v>
      </c>
      <c r="C176" s="85">
        <f>IF(E176=E175,C175+1,1)</f>
        <v>19</v>
      </c>
      <c r="D176" s="85">
        <f>IF(K176=K175,D175,C176)</f>
        <v>19</v>
      </c>
      <c r="E176" s="85">
        <f>10+VALUE(RIGHT(LEFT(G176,3),1))</f>
        <v>15</v>
      </c>
      <c r="F176" s="85" t="str">
        <f>RIGHT(G176,2) &amp; IF(A176&lt;2,"x","")</f>
        <v>pm</v>
      </c>
      <c r="G176" s="85" t="s">
        <v>748</v>
      </c>
      <c r="H176" s="85" t="s">
        <v>175</v>
      </c>
      <c r="I176" s="85" t="s">
        <v>749</v>
      </c>
      <c r="K176" s="86">
        <f>LOOKUP(1E+100,M176:AB176)</f>
        <v>2381.8589517504856</v>
      </c>
      <c r="M176" s="86">
        <v>2400</v>
      </c>
      <c r="O176" s="85">
        <v>2467.3184086886131</v>
      </c>
      <c r="P176" s="85">
        <v>2381.8589517504856</v>
      </c>
    </row>
    <row r="177" spans="1:18" x14ac:dyDescent="0.3">
      <c r="A177" s="85">
        <v>2</v>
      </c>
      <c r="C177" s="85">
        <f>IF(E177=E176,C176+1,1)</f>
        <v>20</v>
      </c>
      <c r="D177" s="85">
        <f>IF(K177=K176,D176,C177)</f>
        <v>20</v>
      </c>
      <c r="E177" s="85">
        <f>10+VALUE(RIGHT(LEFT(G177,3),1))</f>
        <v>15</v>
      </c>
      <c r="F177" s="85" t="str">
        <f>RIGHT(G177,2) &amp; IF(A177&lt;2,"x","")</f>
        <v>pm</v>
      </c>
      <c r="G177" s="85" t="s">
        <v>326</v>
      </c>
      <c r="H177" s="85" t="s">
        <v>206</v>
      </c>
      <c r="I177" s="85" t="s">
        <v>793</v>
      </c>
      <c r="K177" s="86">
        <f>LOOKUP(1E+100,M177:AB177)</f>
        <v>2356.2959603435406</v>
      </c>
      <c r="M177" s="86">
        <v>2300</v>
      </c>
      <c r="P177" s="85">
        <v>2356.2959603435406</v>
      </c>
    </row>
    <row r="178" spans="1:18" x14ac:dyDescent="0.3">
      <c r="A178" s="85">
        <v>4</v>
      </c>
      <c r="C178" s="85">
        <f>IF(E178=E177,C177+1,1)</f>
        <v>21</v>
      </c>
      <c r="D178" s="85">
        <f>IF(K178=K177,D177,C178)</f>
        <v>21</v>
      </c>
      <c r="E178" s="85">
        <f>10+VALUE(RIGHT(LEFT(G178,3),1))</f>
        <v>15</v>
      </c>
      <c r="F178" s="85" t="str">
        <f>RIGHT(G178,2) &amp; IF(A178&lt;2,"x","")</f>
        <v>pm</v>
      </c>
      <c r="G178" s="85" t="s">
        <v>313</v>
      </c>
      <c r="H178" s="85" t="s">
        <v>144</v>
      </c>
      <c r="I178" s="85" t="s">
        <v>314</v>
      </c>
      <c r="K178" s="86">
        <f>LOOKUP(1E+100,M178:AB178)</f>
        <v>2336.1202937617072</v>
      </c>
      <c r="M178" s="86">
        <v>2400</v>
      </c>
      <c r="P178" s="85">
        <v>2336.1202937617072</v>
      </c>
    </row>
    <row r="179" spans="1:18" x14ac:dyDescent="0.3">
      <c r="A179" s="85">
        <v>6</v>
      </c>
      <c r="C179" s="85">
        <f>IF(E179=E178,C178+1,1)</f>
        <v>22</v>
      </c>
      <c r="D179" s="85">
        <f>IF(K179=K178,D178,C179)</f>
        <v>22</v>
      </c>
      <c r="E179" s="85">
        <f>10+VALUE(RIGHT(LEFT(G179,3),1))</f>
        <v>15</v>
      </c>
      <c r="F179" s="85" t="str">
        <f>RIGHT(G179,2) &amp; IF(A179&lt;2,"x","")</f>
        <v>pm</v>
      </c>
      <c r="G179" s="85" t="s">
        <v>332</v>
      </c>
      <c r="H179" s="85" t="s">
        <v>177</v>
      </c>
      <c r="I179" s="85" t="s">
        <v>333</v>
      </c>
      <c r="K179" s="86">
        <f>LOOKUP(1E+100,M179:AB179)</f>
        <v>2324.3104703248537</v>
      </c>
      <c r="M179" s="86">
        <v>2400</v>
      </c>
      <c r="O179" s="85">
        <v>2441.8185825032424</v>
      </c>
      <c r="P179" s="85">
        <v>2351.0458116269024</v>
      </c>
      <c r="Q179" s="85">
        <v>2324.3104703248537</v>
      </c>
    </row>
    <row r="180" spans="1:18" x14ac:dyDescent="0.3">
      <c r="A180" s="85">
        <v>3</v>
      </c>
      <c r="C180" s="85">
        <f>IF(E180=E179,C179+1,1)</f>
        <v>23</v>
      </c>
      <c r="D180" s="85">
        <f>IF(K180=K179,D179,C180)</f>
        <v>23</v>
      </c>
      <c r="E180" s="85">
        <f>10+VALUE(RIGHT(LEFT(G180,3),1))</f>
        <v>15</v>
      </c>
      <c r="F180" s="85" t="str">
        <f>RIGHT(G180,2) &amp; IF(A180&lt;2,"x","")</f>
        <v>pm</v>
      </c>
      <c r="G180" s="85" t="s">
        <v>343</v>
      </c>
      <c r="H180" s="85" t="s">
        <v>497</v>
      </c>
      <c r="I180" s="85" t="s">
        <v>768</v>
      </c>
      <c r="K180" s="86">
        <f>LOOKUP(1E+100,M180:AB180)</f>
        <v>2318.0633092605581</v>
      </c>
      <c r="M180" s="86">
        <v>2400</v>
      </c>
      <c r="P180" s="85">
        <v>2313.0079257034422</v>
      </c>
      <c r="Q180" s="85">
        <v>2318.0633092605581</v>
      </c>
    </row>
    <row r="181" spans="1:18" x14ac:dyDescent="0.3">
      <c r="A181" s="85">
        <v>5</v>
      </c>
      <c r="C181" s="85">
        <f>IF(E181=E180,C180+1,1)</f>
        <v>24</v>
      </c>
      <c r="D181" s="85">
        <f>IF(K181=K180,D180,C181)</f>
        <v>24</v>
      </c>
      <c r="E181" s="85">
        <f>10+VALUE(RIGHT(LEFT(G181,3),1))</f>
        <v>15</v>
      </c>
      <c r="F181" s="85" t="str">
        <f>RIGHT(G181,2) &amp; IF(A181&lt;2,"x","")</f>
        <v>pm</v>
      </c>
      <c r="G181" s="85" t="s">
        <v>330</v>
      </c>
      <c r="H181" s="85" t="s">
        <v>167</v>
      </c>
      <c r="I181" s="85" t="s">
        <v>789</v>
      </c>
      <c r="K181" s="86">
        <f>LOOKUP(1E+100,M181:AB181)</f>
        <v>2309.516084638658</v>
      </c>
      <c r="M181" s="86">
        <v>2400</v>
      </c>
      <c r="O181" s="85">
        <v>2429.3281503386752</v>
      </c>
      <c r="Q181" s="85">
        <v>2309.516084638658</v>
      </c>
    </row>
    <row r="182" spans="1:18" x14ac:dyDescent="0.3">
      <c r="A182" s="85">
        <v>5</v>
      </c>
      <c r="C182" s="85">
        <f>IF(E182=E181,C181+1,1)</f>
        <v>25</v>
      </c>
      <c r="D182" s="85">
        <f>IF(K182=K181,D181,C182)</f>
        <v>25</v>
      </c>
      <c r="E182" s="85">
        <f>10+VALUE(RIGHT(LEFT(G182,3),1))</f>
        <v>15</v>
      </c>
      <c r="F182" s="85" t="str">
        <f>RIGHT(G182,2) &amp; IF(A182&lt;2,"x","")</f>
        <v>pm</v>
      </c>
      <c r="G182" s="85" t="s">
        <v>347</v>
      </c>
      <c r="H182" s="85" t="s">
        <v>167</v>
      </c>
      <c r="I182" s="85" t="s">
        <v>790</v>
      </c>
      <c r="K182" s="86">
        <f>LOOKUP(1E+100,M182:AB182)</f>
        <v>2297.8789657702555</v>
      </c>
      <c r="M182" s="86">
        <v>2400</v>
      </c>
      <c r="O182" s="85">
        <v>2364.2098949089186</v>
      </c>
      <c r="Q182" s="85">
        <v>2297.8789657702555</v>
      </c>
    </row>
    <row r="183" spans="1:18" x14ac:dyDescent="0.3">
      <c r="A183" s="85">
        <v>3</v>
      </c>
      <c r="C183" s="85">
        <f>IF(E183=E182,C182+1,1)</f>
        <v>26</v>
      </c>
      <c r="D183" s="85">
        <f>IF(K183=K182,D182,C183)</f>
        <v>26</v>
      </c>
      <c r="E183" s="85">
        <f>10+VALUE(RIGHT(LEFT(G183,3),1))</f>
        <v>15</v>
      </c>
      <c r="F183" s="85" t="str">
        <f>RIGHT(G183,2) &amp; IF(A183&lt;2,"x","")</f>
        <v>pm</v>
      </c>
      <c r="G183" s="85" t="s">
        <v>755</v>
      </c>
      <c r="H183" s="85" t="s">
        <v>186</v>
      </c>
      <c r="I183" s="85" t="s">
        <v>756</v>
      </c>
      <c r="K183" s="86">
        <f>LOOKUP(1E+100,M183:AB183)</f>
        <v>2296.1318958952461</v>
      </c>
      <c r="M183" s="86">
        <v>2400</v>
      </c>
      <c r="P183" s="85">
        <v>2296.1318958952461</v>
      </c>
    </row>
    <row r="184" spans="1:18" x14ac:dyDescent="0.3">
      <c r="A184" s="85">
        <v>3</v>
      </c>
      <c r="C184" s="85">
        <f>IF(E184=E183,C183+1,1)</f>
        <v>27</v>
      </c>
      <c r="D184" s="85">
        <f>IF(K184=K183,D183,C184)</f>
        <v>27</v>
      </c>
      <c r="E184" s="85">
        <f>10+VALUE(RIGHT(LEFT(G184,3),1))</f>
        <v>15</v>
      </c>
      <c r="F184" s="85" t="str">
        <f>RIGHT(G184,2) &amp; IF(A184&lt;2,"x","")</f>
        <v>pm</v>
      </c>
      <c r="G184" s="85" t="s">
        <v>759</v>
      </c>
      <c r="H184" s="85" t="s">
        <v>760</v>
      </c>
      <c r="I184" s="85" t="s">
        <v>761</v>
      </c>
      <c r="K184" s="86">
        <f>LOOKUP(1E+100,M184:AB184)</f>
        <v>2253.2352312431462</v>
      </c>
      <c r="M184" s="86">
        <v>2400</v>
      </c>
      <c r="P184" s="85">
        <v>2333.6714401541003</v>
      </c>
      <c r="Q184" s="85">
        <v>2253.2352312431462</v>
      </c>
    </row>
    <row r="185" spans="1:18" x14ac:dyDescent="0.3">
      <c r="A185" s="85">
        <v>4</v>
      </c>
      <c r="C185" s="85">
        <f>IF(E185=E184,C184+1,1)</f>
        <v>28</v>
      </c>
      <c r="D185" s="85">
        <f>IF(K185=K184,D184,C185)</f>
        <v>28</v>
      </c>
      <c r="E185" s="85">
        <f>10+VALUE(RIGHT(LEFT(G185,3),1))</f>
        <v>15</v>
      </c>
      <c r="F185" s="85" t="str">
        <f>RIGHT(G185,2) &amp; IF(A185&lt;2,"x","")</f>
        <v>pm</v>
      </c>
      <c r="G185" s="85" t="s">
        <v>806</v>
      </c>
      <c r="H185" s="85" t="s">
        <v>145</v>
      </c>
      <c r="I185" s="85" t="s">
        <v>807</v>
      </c>
      <c r="K185" s="86">
        <f>LOOKUP(1E+100,M185:AB185)</f>
        <v>2244.4861787298178</v>
      </c>
      <c r="M185" s="86">
        <v>2100</v>
      </c>
      <c r="N185" s="85">
        <v>2157.5785645731467</v>
      </c>
      <c r="P185" s="85">
        <v>2181.9666302120004</v>
      </c>
      <c r="R185" s="85">
        <v>2244.4861787298178</v>
      </c>
    </row>
    <row r="186" spans="1:18" x14ac:dyDescent="0.3">
      <c r="A186" s="85">
        <v>5</v>
      </c>
      <c r="C186" s="85">
        <f>IF(E186=E185,C185+1,1)</f>
        <v>29</v>
      </c>
      <c r="D186" s="85">
        <f>IF(K186=K185,D185,C186)</f>
        <v>29</v>
      </c>
      <c r="E186" s="85">
        <f>10+VALUE(RIGHT(LEFT(G186,3),1))</f>
        <v>15</v>
      </c>
      <c r="F186" s="85" t="str">
        <f>RIGHT(G186,2) &amp; IF(A186&lt;2,"x","")</f>
        <v>pm</v>
      </c>
      <c r="G186" s="85" t="s">
        <v>757</v>
      </c>
      <c r="H186" s="85" t="s">
        <v>186</v>
      </c>
      <c r="I186" s="85" t="s">
        <v>758</v>
      </c>
      <c r="K186" s="86">
        <f>LOOKUP(1E+100,M186:AB186)</f>
        <v>2214.9034629732682</v>
      </c>
      <c r="M186" s="86">
        <v>2400</v>
      </c>
      <c r="O186" s="85">
        <v>2298.8859045016379</v>
      </c>
      <c r="Q186" s="85">
        <v>2214.9034629732682</v>
      </c>
    </row>
    <row r="187" spans="1:18" x14ac:dyDescent="0.3">
      <c r="A187" s="85">
        <v>2</v>
      </c>
      <c r="C187" s="85">
        <f>IF(E187=E186,C186+1,1)</f>
        <v>30</v>
      </c>
      <c r="D187" s="85">
        <f>IF(K187=K186,D186,C187)</f>
        <v>30</v>
      </c>
      <c r="E187" s="85">
        <f>10+VALUE(RIGHT(LEFT(G187,3),1))</f>
        <v>15</v>
      </c>
      <c r="F187" s="85" t="str">
        <f>RIGHT(G187,2) &amp; IF(A187&lt;2,"x","")</f>
        <v>pm</v>
      </c>
      <c r="G187" s="85" t="s">
        <v>796</v>
      </c>
      <c r="H187" s="85" t="s">
        <v>159</v>
      </c>
      <c r="I187" s="85" t="s">
        <v>797</v>
      </c>
      <c r="K187" s="86">
        <f>LOOKUP(1E+100,M187:AB187)</f>
        <v>2200</v>
      </c>
      <c r="M187" s="86">
        <v>2200</v>
      </c>
    </row>
    <row r="188" spans="1:18" x14ac:dyDescent="0.3">
      <c r="A188" s="85">
        <v>2</v>
      </c>
      <c r="C188" s="85">
        <f>IF(E188=E187,C187+1,1)</f>
        <v>31</v>
      </c>
      <c r="D188" s="85">
        <f>IF(K188=K187,D187,C188)</f>
        <v>30</v>
      </c>
      <c r="E188" s="85">
        <f>10+VALUE(RIGHT(LEFT(G188,3),1))</f>
        <v>15</v>
      </c>
      <c r="F188" s="85" t="str">
        <f>RIGHT(G188,2) &amp; IF(A188&lt;2,"x","")</f>
        <v>pm</v>
      </c>
      <c r="G188" s="85" t="s">
        <v>798</v>
      </c>
      <c r="H188" s="85" t="s">
        <v>159</v>
      </c>
      <c r="I188" s="85" t="s">
        <v>799</v>
      </c>
      <c r="K188" s="86">
        <f>LOOKUP(1E+100,M188:AB188)</f>
        <v>2200</v>
      </c>
      <c r="M188" s="86">
        <v>2200</v>
      </c>
    </row>
    <row r="189" spans="1:18" x14ac:dyDescent="0.3">
      <c r="A189" s="85">
        <v>5</v>
      </c>
      <c r="C189" s="85">
        <f>IF(E189=E188,C188+1,1)</f>
        <v>32</v>
      </c>
      <c r="D189" s="85">
        <f>IF(K189=K188,D188,C189)</f>
        <v>32</v>
      </c>
      <c r="E189" s="85">
        <f>10+VALUE(RIGHT(LEFT(G189,3),1))</f>
        <v>15</v>
      </c>
      <c r="F189" s="85" t="str">
        <f>RIGHT(G189,2) &amp; IF(A189&lt;2,"x","")</f>
        <v>pm</v>
      </c>
      <c r="G189" s="85" t="s">
        <v>794</v>
      </c>
      <c r="H189" s="85" t="s">
        <v>236</v>
      </c>
      <c r="I189" s="85" t="s">
        <v>795</v>
      </c>
      <c r="K189" s="86">
        <f>LOOKUP(1E+100,M189:AB189)</f>
        <v>2149.8163394244666</v>
      </c>
      <c r="M189" s="86">
        <v>2240</v>
      </c>
      <c r="P189" s="85">
        <v>2173.5347882407832</v>
      </c>
      <c r="Q189" s="85">
        <v>2149.8163394244666</v>
      </c>
    </row>
    <row r="190" spans="1:18" x14ac:dyDescent="0.3">
      <c r="A190" s="85">
        <v>2</v>
      </c>
      <c r="C190" s="85">
        <f>IF(E190=E189,C189+1,1)</f>
        <v>33</v>
      </c>
      <c r="D190" s="85">
        <f>IF(K190=K189,D189,C190)</f>
        <v>33</v>
      </c>
      <c r="E190" s="85">
        <f>10+VALUE(RIGHT(LEFT(G190,3),1))</f>
        <v>15</v>
      </c>
      <c r="F190" s="85" t="str">
        <f>RIGHT(G190,2) &amp; IF(A190&lt;2,"x","")</f>
        <v>pm</v>
      </c>
      <c r="G190" s="85" t="s">
        <v>815</v>
      </c>
      <c r="H190" s="85" t="s">
        <v>278</v>
      </c>
      <c r="I190" s="85" t="s">
        <v>816</v>
      </c>
      <c r="K190" s="86">
        <f>LOOKUP(1E+100,M190:AB190)</f>
        <v>2124.1644411056986</v>
      </c>
      <c r="M190" s="86">
        <v>2000</v>
      </c>
      <c r="N190" s="85">
        <v>2064.8623824177516</v>
      </c>
      <c r="R190" s="85">
        <v>2124.1644411056986</v>
      </c>
    </row>
    <row r="191" spans="1:18" x14ac:dyDescent="0.3">
      <c r="A191" s="85">
        <v>5</v>
      </c>
      <c r="C191" s="85">
        <f>IF(E191=E190,C190+1,1)</f>
        <v>34</v>
      </c>
      <c r="D191" s="85">
        <f>IF(K191=K190,D190,C191)</f>
        <v>34</v>
      </c>
      <c r="E191" s="85">
        <f>10+VALUE(RIGHT(LEFT(G191,3),1))</f>
        <v>15</v>
      </c>
      <c r="F191" s="85" t="str">
        <f>RIGHT(G191,2) &amp; IF(A191&lt;2,"x","")</f>
        <v>pm</v>
      </c>
      <c r="G191" s="85" t="s">
        <v>808</v>
      </c>
      <c r="H191" s="85" t="s">
        <v>549</v>
      </c>
      <c r="I191" s="85" t="s">
        <v>809</v>
      </c>
      <c r="K191" s="86">
        <f>LOOKUP(1E+100,M191:AB191)</f>
        <v>2112.5138080585534</v>
      </c>
      <c r="M191" s="86">
        <v>2080</v>
      </c>
      <c r="N191" s="85">
        <v>2069.0723637688607</v>
      </c>
      <c r="R191" s="85">
        <v>2112.5138080585534</v>
      </c>
    </row>
    <row r="192" spans="1:18" x14ac:dyDescent="0.3">
      <c r="A192" s="85">
        <v>4</v>
      </c>
      <c r="C192" s="85">
        <f>IF(E192=E191,C191+1,1)</f>
        <v>35</v>
      </c>
      <c r="D192" s="85">
        <f>IF(K192=K191,D191,C192)</f>
        <v>35</v>
      </c>
      <c r="E192" s="85">
        <f>10+VALUE(RIGHT(LEFT(G192,3),1))</f>
        <v>15</v>
      </c>
      <c r="F192" s="85" t="str">
        <f>RIGHT(G192,2) &amp; IF(A192&lt;2,"x","")</f>
        <v>pm</v>
      </c>
      <c r="G192" s="85" t="s">
        <v>823</v>
      </c>
      <c r="H192" s="85" t="s">
        <v>824</v>
      </c>
      <c r="I192" s="85" t="s">
        <v>825</v>
      </c>
      <c r="K192" s="86">
        <f>LOOKUP(1E+100,M192:AB192)</f>
        <v>2100.4547618272268</v>
      </c>
      <c r="M192" s="86">
        <v>2000</v>
      </c>
      <c r="P192" s="85">
        <v>2100.4547618272268</v>
      </c>
    </row>
    <row r="193" spans="1:18" x14ac:dyDescent="0.3">
      <c r="A193" s="85">
        <v>3</v>
      </c>
      <c r="C193" s="85">
        <f>IF(E193=E192,C192+1,1)</f>
        <v>36</v>
      </c>
      <c r="D193" s="85">
        <f>IF(K193=K192,D192,C193)</f>
        <v>36</v>
      </c>
      <c r="E193" s="85">
        <f>10+VALUE(RIGHT(LEFT(G193,3),1))</f>
        <v>15</v>
      </c>
      <c r="F193" s="85" t="str">
        <f>RIGHT(G193,2) &amp; IF(A193&lt;2,"x","")</f>
        <v>pm</v>
      </c>
      <c r="G193" s="85" t="s">
        <v>821</v>
      </c>
      <c r="H193" s="85" t="s">
        <v>204</v>
      </c>
      <c r="I193" s="85" t="s">
        <v>822</v>
      </c>
      <c r="K193" s="86">
        <f>LOOKUP(1E+100,M193:AB193)</f>
        <v>2084.3018408354983</v>
      </c>
      <c r="M193" s="86">
        <v>2000</v>
      </c>
      <c r="R193" s="85">
        <v>2084.3018408354983</v>
      </c>
    </row>
    <row r="194" spans="1:18" x14ac:dyDescent="0.3">
      <c r="A194" s="85">
        <v>6</v>
      </c>
      <c r="C194" s="85">
        <f>IF(E194=E193,C193+1,1)</f>
        <v>37</v>
      </c>
      <c r="D194" s="85">
        <f>IF(K194=K193,D193,C194)</f>
        <v>37</v>
      </c>
      <c r="E194" s="85">
        <f>10+VALUE(RIGHT(LEFT(G194,3),1))</f>
        <v>15</v>
      </c>
      <c r="F194" s="85" t="str">
        <f>RIGHT(G194,2) &amp; IF(A194&lt;2,"x","")</f>
        <v>pm</v>
      </c>
      <c r="G194" s="85" t="s">
        <v>833</v>
      </c>
      <c r="H194" s="85" t="s">
        <v>562</v>
      </c>
      <c r="I194" s="85" t="s">
        <v>834</v>
      </c>
      <c r="K194" s="86">
        <f>LOOKUP(1E+100,M194:AB194)</f>
        <v>2067.6707771946617</v>
      </c>
      <c r="M194" s="86">
        <v>2000</v>
      </c>
      <c r="N194" s="85">
        <v>1927.6957131566237</v>
      </c>
      <c r="P194" s="85">
        <v>2029.7452003979715</v>
      </c>
      <c r="R194" s="85">
        <v>2067.6707771946617</v>
      </c>
    </row>
    <row r="195" spans="1:18" x14ac:dyDescent="0.3">
      <c r="A195" s="85">
        <v>3</v>
      </c>
      <c r="C195" s="85">
        <f>IF(E195=E194,C194+1,1)</f>
        <v>38</v>
      </c>
      <c r="D195" s="85">
        <f>IF(K195=K194,D194,C195)</f>
        <v>38</v>
      </c>
      <c r="E195" s="85">
        <f>10+VALUE(RIGHT(LEFT(G195,3),1))</f>
        <v>15</v>
      </c>
      <c r="F195" s="85" t="str">
        <f>RIGHT(G195,2) &amp; IF(A195&lt;2,"x","")</f>
        <v>pm</v>
      </c>
      <c r="G195" s="85" t="s">
        <v>813</v>
      </c>
      <c r="H195" s="85" t="s">
        <v>519</v>
      </c>
      <c r="I195" s="85" t="s">
        <v>814</v>
      </c>
      <c r="K195" s="86">
        <f>LOOKUP(1E+100,M195:AB195)</f>
        <v>2067.659762098283</v>
      </c>
      <c r="M195" s="86">
        <v>2000</v>
      </c>
      <c r="N195" s="85">
        <v>2049.5374066277782</v>
      </c>
      <c r="R195" s="85">
        <v>2067.659762098283</v>
      </c>
    </row>
    <row r="196" spans="1:18" x14ac:dyDescent="0.3">
      <c r="A196" s="85">
        <v>2</v>
      </c>
      <c r="C196" s="85">
        <f>IF(E196=E195,C195+1,1)</f>
        <v>39</v>
      </c>
      <c r="D196" s="85">
        <f>IF(K196=K195,D195,C196)</f>
        <v>39</v>
      </c>
      <c r="E196" s="85">
        <f>10+VALUE(RIGHT(LEFT(G196,3),1))</f>
        <v>15</v>
      </c>
      <c r="F196" s="85" t="str">
        <f>RIGHT(G196,2) &amp; IF(A196&lt;2,"x","")</f>
        <v>pm</v>
      </c>
      <c r="G196" s="301" t="s">
        <v>1055</v>
      </c>
      <c r="H196" s="301" t="s">
        <v>1056</v>
      </c>
      <c r="I196" s="301" t="s">
        <v>1057</v>
      </c>
      <c r="K196" s="86">
        <f>LOOKUP(1E+100,M196:AB196)</f>
        <v>2022.9770397763709</v>
      </c>
      <c r="M196" s="86">
        <v>2000</v>
      </c>
      <c r="P196" s="85">
        <v>2022.9770397763709</v>
      </c>
    </row>
    <row r="197" spans="1:18" x14ac:dyDescent="0.3">
      <c r="A197" s="85">
        <v>3</v>
      </c>
      <c r="C197" s="85">
        <f>IF(E197=E196,C196+1,1)</f>
        <v>40</v>
      </c>
      <c r="D197" s="85">
        <f>IF(K197=K196,D196,C197)</f>
        <v>40</v>
      </c>
      <c r="E197" s="85">
        <f>10+VALUE(RIGHT(LEFT(G197,3),1))</f>
        <v>15</v>
      </c>
      <c r="F197" s="85" t="str">
        <f>RIGHT(G197,2) &amp; IF(A197&lt;2,"x","")</f>
        <v>pm</v>
      </c>
      <c r="G197" s="85" t="s">
        <v>340</v>
      </c>
      <c r="H197" s="85" t="s">
        <v>144</v>
      </c>
      <c r="I197" s="85" t="s">
        <v>341</v>
      </c>
      <c r="K197" s="86">
        <f>LOOKUP(1E+100,M197:AB197)</f>
        <v>2014.0023386288276</v>
      </c>
      <c r="M197" s="86">
        <v>2000</v>
      </c>
      <c r="N197" s="85">
        <v>2014.0023386288276</v>
      </c>
    </row>
    <row r="198" spans="1:18" x14ac:dyDescent="0.3">
      <c r="A198" s="85">
        <v>3</v>
      </c>
      <c r="C198" s="85">
        <f>IF(E198=E197,C197+1,1)</f>
        <v>41</v>
      </c>
      <c r="D198" s="85">
        <f>IF(K198=K197,D197,C198)</f>
        <v>41</v>
      </c>
      <c r="E198" s="85">
        <f>10+VALUE(RIGHT(LEFT(G198,3),1))</f>
        <v>15</v>
      </c>
      <c r="F198" s="85" t="str">
        <f>RIGHT(G198,2) &amp; IF(A198&lt;2,"x","")</f>
        <v>pm</v>
      </c>
      <c r="G198" s="85" t="s">
        <v>337</v>
      </c>
      <c r="H198" s="85" t="s">
        <v>277</v>
      </c>
      <c r="I198" s="85" t="s">
        <v>805</v>
      </c>
      <c r="K198" s="86">
        <f>LOOKUP(1E+100,M198:AB198)</f>
        <v>2012.5991057299912</v>
      </c>
      <c r="M198" s="86">
        <v>2133.3333333333335</v>
      </c>
      <c r="O198" s="85">
        <v>2098.3727680075549</v>
      </c>
      <c r="R198" s="85">
        <v>2012.5991057299912</v>
      </c>
    </row>
    <row r="199" spans="1:18" x14ac:dyDescent="0.3">
      <c r="A199" s="85">
        <v>3</v>
      </c>
      <c r="C199" s="85">
        <f>IF(E199=E198,C198+1,1)</f>
        <v>42</v>
      </c>
      <c r="D199" s="85">
        <f>IF(K199=K198,D198,C199)</f>
        <v>42</v>
      </c>
      <c r="E199" s="85">
        <f>10+VALUE(RIGHT(LEFT(G199,3),1))</f>
        <v>15</v>
      </c>
      <c r="F199" s="85" t="str">
        <f>RIGHT(G199,2) &amp; IF(A199&lt;2,"x","")</f>
        <v>pm</v>
      </c>
      <c r="G199" s="85" t="s">
        <v>315</v>
      </c>
      <c r="H199" s="85" t="s">
        <v>144</v>
      </c>
      <c r="I199" s="85" t="s">
        <v>812</v>
      </c>
      <c r="K199" s="86">
        <f>LOOKUP(1E+100,M199:AB199)</f>
        <v>1985.8911223651464</v>
      </c>
      <c r="M199" s="86">
        <v>2000</v>
      </c>
      <c r="N199" s="85">
        <v>1985.8911223651464</v>
      </c>
    </row>
    <row r="200" spans="1:18" x14ac:dyDescent="0.3">
      <c r="A200" s="85">
        <v>3</v>
      </c>
      <c r="C200" s="85">
        <f>IF(E200=E199,C199+1,1)</f>
        <v>43</v>
      </c>
      <c r="D200" s="85">
        <f>IF(K200=K199,D199,C200)</f>
        <v>43</v>
      </c>
      <c r="E200" s="85">
        <f>10+VALUE(RIGHT(LEFT(G200,3),1))</f>
        <v>15</v>
      </c>
      <c r="F200" s="85" t="str">
        <f>RIGHT(G200,2) &amp; IF(A200&lt;2,"x","")</f>
        <v>pm</v>
      </c>
      <c r="G200" s="85" t="s">
        <v>828</v>
      </c>
      <c r="H200" s="85" t="s">
        <v>235</v>
      </c>
      <c r="I200" s="85" t="s">
        <v>829</v>
      </c>
      <c r="K200" s="86">
        <f>LOOKUP(1E+100,M200:AB200)</f>
        <v>1972.3799548425379</v>
      </c>
      <c r="M200" s="86">
        <v>2000</v>
      </c>
      <c r="P200" s="85">
        <v>1972.3799548425379</v>
      </c>
    </row>
    <row r="201" spans="1:18" x14ac:dyDescent="0.3">
      <c r="A201" s="85">
        <v>5</v>
      </c>
      <c r="C201" s="85">
        <f>IF(E201=E200,C200+1,1)</f>
        <v>44</v>
      </c>
      <c r="D201" s="85">
        <f>IF(K201=K200,D200,C201)</f>
        <v>44</v>
      </c>
      <c r="E201" s="85">
        <f>10+VALUE(RIGHT(LEFT(G201,3),1))</f>
        <v>15</v>
      </c>
      <c r="F201" s="85" t="str">
        <f>RIGHT(G201,2) &amp; IF(A201&lt;2,"x","")</f>
        <v>pm</v>
      </c>
      <c r="G201" s="85" t="s">
        <v>344</v>
      </c>
      <c r="H201" s="85" t="s">
        <v>345</v>
      </c>
      <c r="I201" s="85" t="s">
        <v>346</v>
      </c>
      <c r="K201" s="86">
        <f>LOOKUP(1E+100,M201:AB201)</f>
        <v>1924.6311991718028</v>
      </c>
      <c r="M201" s="86">
        <v>2000</v>
      </c>
      <c r="N201" s="85">
        <v>1916.4170326361775</v>
      </c>
      <c r="R201" s="85">
        <v>1924.6311991718028</v>
      </c>
    </row>
    <row r="202" spans="1:18" x14ac:dyDescent="0.3">
      <c r="A202" s="85">
        <v>6</v>
      </c>
      <c r="C202" s="85">
        <f>IF(E202=E201,C201+1,1)</f>
        <v>45</v>
      </c>
      <c r="D202" s="85">
        <f>IF(K202=K201,D201,C202)</f>
        <v>45</v>
      </c>
      <c r="E202" s="85">
        <f>10+VALUE(RIGHT(LEFT(G202,3),1))</f>
        <v>15</v>
      </c>
      <c r="F202" s="85" t="str">
        <f>RIGHT(G202,2) &amp; IF(A202&lt;2,"x","")</f>
        <v>pm</v>
      </c>
      <c r="G202" s="85" t="s">
        <v>830</v>
      </c>
      <c r="H202" s="85" t="s">
        <v>831</v>
      </c>
      <c r="I202" s="85" t="s">
        <v>832</v>
      </c>
      <c r="K202" s="86">
        <f>LOOKUP(1E+100,M202:AB202)</f>
        <v>1923.2346641244819</v>
      </c>
      <c r="M202" s="86">
        <v>2000</v>
      </c>
      <c r="N202" s="85">
        <v>1949.0271934580555</v>
      </c>
      <c r="P202" s="85">
        <v>1882.5235226783811</v>
      </c>
      <c r="R202" s="85">
        <v>1923.2346641244819</v>
      </c>
    </row>
    <row r="203" spans="1:18" x14ac:dyDescent="0.3">
      <c r="A203" s="85">
        <v>6</v>
      </c>
      <c r="C203" s="85">
        <f>IF(E203=E202,C202+1,1)</f>
        <v>46</v>
      </c>
      <c r="D203" s="85">
        <f>IF(K203=K202,D202,C203)</f>
        <v>46</v>
      </c>
      <c r="E203" s="85">
        <f>10+VALUE(RIGHT(LEFT(G203,3),1))</f>
        <v>15</v>
      </c>
      <c r="F203" s="85" t="str">
        <f>RIGHT(G203,2) &amp; IF(A203&lt;2,"x","")</f>
        <v>pm</v>
      </c>
      <c r="G203" s="85" t="s">
        <v>819</v>
      </c>
      <c r="H203" s="85" t="s">
        <v>186</v>
      </c>
      <c r="I203" s="85" t="s">
        <v>820</v>
      </c>
      <c r="K203" s="86">
        <f>LOOKUP(1E+100,M203:AB203)</f>
        <v>1907.9011658369698</v>
      </c>
      <c r="M203" s="86">
        <v>2000</v>
      </c>
      <c r="P203" s="85">
        <v>1907.0602982216196</v>
      </c>
      <c r="R203" s="85">
        <v>1907.9011658369698</v>
      </c>
    </row>
    <row r="204" spans="1:18" x14ac:dyDescent="0.3">
      <c r="A204" s="85">
        <v>7</v>
      </c>
      <c r="C204" s="85">
        <f>IF(E204=E203,C203+1,1)</f>
        <v>47</v>
      </c>
      <c r="D204" s="85">
        <f>IF(K204=K203,D203,C204)</f>
        <v>47</v>
      </c>
      <c r="E204" s="85">
        <f>10+VALUE(RIGHT(LEFT(G204,3),1))</f>
        <v>15</v>
      </c>
      <c r="F204" s="85" t="str">
        <f>RIGHT(G204,2) &amp; IF(A204&lt;2,"x","")</f>
        <v>pm</v>
      </c>
      <c r="G204" s="85" t="s">
        <v>817</v>
      </c>
      <c r="H204" s="85" t="s">
        <v>177</v>
      </c>
      <c r="I204" s="85" t="s">
        <v>818</v>
      </c>
      <c r="K204" s="86">
        <f>LOOKUP(1E+100,M204:AB204)</f>
        <v>1905.7355996922558</v>
      </c>
      <c r="M204" s="86">
        <v>2000</v>
      </c>
      <c r="N204" s="85">
        <v>1891.2531382656648</v>
      </c>
      <c r="P204" s="85">
        <v>1912.5278512157745</v>
      </c>
      <c r="R204" s="85">
        <v>1905.7355996922558</v>
      </c>
    </row>
    <row r="205" spans="1:18" x14ac:dyDescent="0.3">
      <c r="A205" s="85">
        <v>6</v>
      </c>
      <c r="C205" s="85">
        <f>IF(E205=E204,C204+1,1)</f>
        <v>48</v>
      </c>
      <c r="D205" s="85">
        <f>IF(K205=K204,D204,C205)</f>
        <v>48</v>
      </c>
      <c r="E205" s="85">
        <f>10+VALUE(RIGHT(LEFT(G205,3),1))</f>
        <v>15</v>
      </c>
      <c r="F205" s="85" t="str">
        <f>RIGHT(G205,2) &amp; IF(A205&lt;2,"x","")</f>
        <v>pm</v>
      </c>
      <c r="G205" s="85" t="s">
        <v>349</v>
      </c>
      <c r="H205" s="85" t="s">
        <v>167</v>
      </c>
      <c r="I205" s="85" t="s">
        <v>348</v>
      </c>
      <c r="K205" s="86">
        <f>LOOKUP(1E+100,M205:AB205)</f>
        <v>1870.0232203055843</v>
      </c>
      <c r="M205" s="86">
        <v>2000</v>
      </c>
      <c r="P205" s="85">
        <v>1971.8032083037831</v>
      </c>
      <c r="R205" s="85">
        <v>1870.0232203055843</v>
      </c>
    </row>
    <row r="206" spans="1:18" x14ac:dyDescent="0.3">
      <c r="A206" s="85">
        <v>5</v>
      </c>
      <c r="C206" s="85">
        <f>IF(E206=E205,C205+1,1)</f>
        <v>49</v>
      </c>
      <c r="D206" s="85">
        <f>IF(K206=K205,D205,C206)</f>
        <v>49</v>
      </c>
      <c r="E206" s="85">
        <f>10+VALUE(RIGHT(LEFT(G206,3),1))</f>
        <v>15</v>
      </c>
      <c r="F206" s="85" t="str">
        <f>RIGHT(G206,2) &amp; IF(A206&lt;2,"x","")</f>
        <v>pm</v>
      </c>
      <c r="G206" s="85" t="s">
        <v>826</v>
      </c>
      <c r="H206" s="85" t="s">
        <v>235</v>
      </c>
      <c r="I206" s="85" t="s">
        <v>827</v>
      </c>
      <c r="K206" s="86">
        <f>LOOKUP(1E+100,M206:AB206)</f>
        <v>1804.7356710542576</v>
      </c>
      <c r="M206" s="86">
        <v>2000</v>
      </c>
      <c r="P206" s="85">
        <v>1878.0185952211898</v>
      </c>
      <c r="R206" s="85">
        <v>1804.7356710542576</v>
      </c>
    </row>
    <row r="207" spans="1:18" x14ac:dyDescent="0.3">
      <c r="A207" s="85">
        <v>3</v>
      </c>
      <c r="C207" s="85">
        <f>IF(E207=E206,C206+1,1)</f>
        <v>1</v>
      </c>
      <c r="D207" s="85">
        <f>IF(K207=K206,D206,C207)</f>
        <v>1</v>
      </c>
      <c r="E207" s="85">
        <f>10+VALUE(RIGHT(LEFT(G207,3),1))</f>
        <v>16</v>
      </c>
      <c r="F207" s="85" t="str">
        <f>RIGHT(G207,2) &amp; IF(A207&lt;2,"x","")</f>
        <v>pm</v>
      </c>
      <c r="G207" s="85" t="s">
        <v>380</v>
      </c>
      <c r="H207" s="85" t="s">
        <v>145</v>
      </c>
      <c r="I207" s="85" t="s">
        <v>845</v>
      </c>
      <c r="K207" s="86">
        <f>LOOKUP(1E+100,M207:AB207)</f>
        <v>2757.3384734737615</v>
      </c>
      <c r="M207" s="86">
        <v>2600</v>
      </c>
      <c r="N207" s="85">
        <v>2722.9696572781031</v>
      </c>
      <c r="P207" s="85">
        <v>2757.3384734737615</v>
      </c>
    </row>
    <row r="208" spans="1:18" x14ac:dyDescent="0.3">
      <c r="A208" s="85">
        <v>2</v>
      </c>
      <c r="C208" s="85">
        <f>IF(E208=E207,C207+1,1)</f>
        <v>2</v>
      </c>
      <c r="D208" s="85">
        <f>IF(K208=K207,D207,C208)</f>
        <v>2</v>
      </c>
      <c r="E208" s="85">
        <f>10+VALUE(RIGHT(LEFT(G208,3),1))</f>
        <v>16</v>
      </c>
      <c r="F208" s="85" t="str">
        <f>RIGHT(G208,2) &amp; IF(A208&lt;2,"x","")</f>
        <v>pm</v>
      </c>
      <c r="G208" s="85" t="s">
        <v>381</v>
      </c>
      <c r="H208" s="85" t="s">
        <v>204</v>
      </c>
      <c r="I208" s="85" t="s">
        <v>382</v>
      </c>
      <c r="K208" s="86">
        <f>LOOKUP(1E+100,M208:AB208)</f>
        <v>2705.5892446180078</v>
      </c>
      <c r="M208" s="86">
        <v>2600</v>
      </c>
      <c r="O208" s="85">
        <v>2705.5892446180078</v>
      </c>
    </row>
    <row r="209" spans="1:17" x14ac:dyDescent="0.3">
      <c r="A209" s="85">
        <v>5</v>
      </c>
      <c r="C209" s="85">
        <f>IF(E209=E208,C208+1,1)</f>
        <v>3</v>
      </c>
      <c r="D209" s="85">
        <f>IF(K209=K208,D208,C209)</f>
        <v>3</v>
      </c>
      <c r="E209" s="85">
        <f>10+VALUE(RIGHT(LEFT(G209,3),1))</f>
        <v>16</v>
      </c>
      <c r="F209" s="85" t="str">
        <f>RIGHT(G209,2) &amp; IF(A209&lt;2,"x","")</f>
        <v>pm</v>
      </c>
      <c r="G209" s="85" t="s">
        <v>356</v>
      </c>
      <c r="H209" s="85" t="s">
        <v>177</v>
      </c>
      <c r="I209" s="85" t="s">
        <v>357</v>
      </c>
      <c r="K209" s="86">
        <f>LOOKUP(1E+100,M209:AB209)</f>
        <v>2673.1207483164376</v>
      </c>
      <c r="M209" s="86">
        <v>2600</v>
      </c>
      <c r="P209" s="85">
        <v>2659.5481757882421</v>
      </c>
      <c r="Q209" s="85">
        <v>2673.1207483164376</v>
      </c>
    </row>
    <row r="210" spans="1:17" x14ac:dyDescent="0.3">
      <c r="A210" s="85">
        <v>2</v>
      </c>
      <c r="C210" s="85">
        <f>IF(E210=E209,C209+1,1)</f>
        <v>4</v>
      </c>
      <c r="D210" s="85">
        <f>IF(K210=K209,D209,C210)</f>
        <v>4</v>
      </c>
      <c r="E210" s="85">
        <f>10+VALUE(RIGHT(LEFT(G210,3),1))</f>
        <v>16</v>
      </c>
      <c r="F210" s="85" t="str">
        <f>RIGHT(G210,2) &amp; IF(A210&lt;2,"x","")</f>
        <v>pm</v>
      </c>
      <c r="G210" s="85" t="s">
        <v>862</v>
      </c>
      <c r="H210" s="85" t="s">
        <v>331</v>
      </c>
      <c r="I210" s="85" t="s">
        <v>863</v>
      </c>
      <c r="K210" s="86">
        <f>LOOKUP(1E+100,M210:AB210)</f>
        <v>2672.5719297904616</v>
      </c>
      <c r="M210" s="86">
        <v>2600</v>
      </c>
      <c r="P210" s="85">
        <v>2672.5719297904616</v>
      </c>
    </row>
    <row r="211" spans="1:17" x14ac:dyDescent="0.3">
      <c r="A211" s="85">
        <v>2</v>
      </c>
      <c r="C211" s="85">
        <f>IF(E211=E210,C210+1,1)</f>
        <v>5</v>
      </c>
      <c r="D211" s="85">
        <f>IF(K211=K210,D210,C211)</f>
        <v>5</v>
      </c>
      <c r="E211" s="85">
        <f>10+VALUE(RIGHT(LEFT(G211,3),1))</f>
        <v>16</v>
      </c>
      <c r="F211" s="85" t="str">
        <f>RIGHT(G211,2) &amp; IF(A211&lt;2,"x","")</f>
        <v>pm</v>
      </c>
      <c r="G211" s="85" t="s">
        <v>353</v>
      </c>
      <c r="H211" s="85" t="s">
        <v>144</v>
      </c>
      <c r="I211" s="85" t="s">
        <v>354</v>
      </c>
      <c r="K211" s="86">
        <f>LOOKUP(1E+100,M211:AB211)</f>
        <v>2647.187670543276</v>
      </c>
      <c r="M211" s="86">
        <v>2600</v>
      </c>
      <c r="P211" s="85">
        <v>2580.3648746748836</v>
      </c>
      <c r="Q211" s="85">
        <v>2647.187670543276</v>
      </c>
    </row>
    <row r="212" spans="1:17" x14ac:dyDescent="0.3">
      <c r="A212" s="85">
        <v>2</v>
      </c>
      <c r="C212" s="85">
        <f>IF(E212=E211,C211+1,1)</f>
        <v>6</v>
      </c>
      <c r="D212" s="85">
        <f>IF(K212=K211,D211,C212)</f>
        <v>6</v>
      </c>
      <c r="E212" s="85">
        <f>10+VALUE(RIGHT(LEFT(G212,3),1))</f>
        <v>16</v>
      </c>
      <c r="F212" s="85" t="str">
        <f>RIGHT(G212,2) &amp; IF(A212&lt;2,"x","")</f>
        <v>pm</v>
      </c>
      <c r="G212" s="85" t="s">
        <v>375</v>
      </c>
      <c r="H212" s="85" t="s">
        <v>497</v>
      </c>
      <c r="I212" s="85" t="s">
        <v>893</v>
      </c>
      <c r="K212" s="86">
        <f>LOOKUP(1E+100,M212:AB212)</f>
        <v>2619.4647988942984</v>
      </c>
      <c r="M212" s="86">
        <v>2600</v>
      </c>
      <c r="P212" s="85">
        <v>2619.4647988942984</v>
      </c>
    </row>
    <row r="213" spans="1:17" x14ac:dyDescent="0.3">
      <c r="A213" s="85">
        <v>3</v>
      </c>
      <c r="C213" s="85">
        <f>IF(E213=E212,C212+1,1)</f>
        <v>7</v>
      </c>
      <c r="D213" s="85">
        <f>IF(K213=K212,D212,C213)</f>
        <v>7</v>
      </c>
      <c r="E213" s="85">
        <f>10+VALUE(RIGHT(LEFT(G213,3),1))</f>
        <v>16</v>
      </c>
      <c r="F213" s="85" t="str">
        <f>RIGHT(G213,2) &amp; IF(A213&lt;2,"x","")</f>
        <v>pm</v>
      </c>
      <c r="G213" s="85" t="s">
        <v>369</v>
      </c>
      <c r="H213" s="85" t="s">
        <v>167</v>
      </c>
      <c r="I213" s="85" t="s">
        <v>370</v>
      </c>
      <c r="K213" s="86">
        <f>LOOKUP(1E+100,M213:AB213)</f>
        <v>2611.0820809665233</v>
      </c>
      <c r="M213" s="86">
        <v>2600</v>
      </c>
      <c r="Q213" s="85">
        <v>2611.0820809665233</v>
      </c>
    </row>
    <row r="214" spans="1:17" x14ac:dyDescent="0.3">
      <c r="A214" s="85">
        <v>3</v>
      </c>
      <c r="C214" s="85">
        <f>IF(E214=E213,C213+1,1)</f>
        <v>8</v>
      </c>
      <c r="D214" s="85">
        <f>IF(K214=K213,D213,C214)</f>
        <v>8</v>
      </c>
      <c r="E214" s="85">
        <f>10+VALUE(RIGHT(LEFT(G214,3),1))</f>
        <v>16</v>
      </c>
      <c r="F214" s="85" t="str">
        <f>RIGHT(G214,2) &amp; IF(A214&lt;2,"x","")</f>
        <v>pm</v>
      </c>
      <c r="G214" s="85" t="s">
        <v>360</v>
      </c>
      <c r="H214" s="85" t="s">
        <v>186</v>
      </c>
      <c r="I214" s="85" t="s">
        <v>892</v>
      </c>
      <c r="K214" s="86">
        <f>LOOKUP(1E+100,M214:AB214)</f>
        <v>2600</v>
      </c>
      <c r="M214" s="86">
        <v>2600</v>
      </c>
    </row>
    <row r="215" spans="1:17" x14ac:dyDescent="0.3">
      <c r="A215" s="85">
        <v>3</v>
      </c>
      <c r="C215" s="85">
        <f>IF(E215=E214,C214+1,1)</f>
        <v>9</v>
      </c>
      <c r="D215" s="85">
        <f>IF(K215=K214,D214,C215)</f>
        <v>8</v>
      </c>
      <c r="E215" s="85">
        <f>10+VALUE(RIGHT(LEFT(G215,3),1))</f>
        <v>16</v>
      </c>
      <c r="F215" s="85" t="str">
        <f>RIGHT(G215,2) &amp; IF(A215&lt;2,"x","")</f>
        <v>pm</v>
      </c>
      <c r="G215" s="85" t="s">
        <v>361</v>
      </c>
      <c r="H215" s="85" t="s">
        <v>186</v>
      </c>
      <c r="I215" s="85" t="s">
        <v>848</v>
      </c>
      <c r="K215" s="86">
        <f>LOOKUP(1E+100,M215:AB215)</f>
        <v>2600</v>
      </c>
      <c r="M215" s="86">
        <v>2600</v>
      </c>
    </row>
    <row r="216" spans="1:17" x14ac:dyDescent="0.3">
      <c r="A216" s="85">
        <v>2</v>
      </c>
      <c r="C216" s="85">
        <f>IF(E216=E215,C215+1,1)</f>
        <v>10</v>
      </c>
      <c r="D216" s="85">
        <f>IF(K216=K215,D215,C216)</f>
        <v>8</v>
      </c>
      <c r="E216" s="85">
        <f>10+VALUE(RIGHT(LEFT(G216,3),1))</f>
        <v>16</v>
      </c>
      <c r="F216" s="85" t="str">
        <f>RIGHT(G216,2) &amp; IF(A216&lt;2,"x","")</f>
        <v>pm</v>
      </c>
      <c r="G216" s="85" t="s">
        <v>365</v>
      </c>
      <c r="H216" s="85" t="s">
        <v>258</v>
      </c>
      <c r="I216" s="85" t="s">
        <v>850</v>
      </c>
      <c r="K216" s="86">
        <f>LOOKUP(1E+100,M216:AB216)</f>
        <v>2600</v>
      </c>
      <c r="M216" s="86">
        <v>2600</v>
      </c>
    </row>
    <row r="217" spans="1:17" x14ac:dyDescent="0.3">
      <c r="A217" s="85">
        <v>3</v>
      </c>
      <c r="C217" s="85">
        <f>IF(E217=E216,C216+1,1)</f>
        <v>11</v>
      </c>
      <c r="D217" s="85">
        <f>IF(K217=K216,D216,C217)</f>
        <v>8</v>
      </c>
      <c r="E217" s="85">
        <f>10+VALUE(RIGHT(LEFT(G217,3),1))</f>
        <v>16</v>
      </c>
      <c r="F217" s="85" t="str">
        <f>RIGHT(G217,2) &amp; IF(A217&lt;2,"x","")</f>
        <v>pm</v>
      </c>
      <c r="G217" s="85" t="s">
        <v>374</v>
      </c>
      <c r="H217" s="85" t="s">
        <v>502</v>
      </c>
      <c r="I217" s="85" t="s">
        <v>866</v>
      </c>
      <c r="K217" s="86">
        <f>LOOKUP(1E+100,M217:AB217)</f>
        <v>2600</v>
      </c>
      <c r="M217" s="86">
        <v>2600</v>
      </c>
    </row>
    <row r="218" spans="1:17" x14ac:dyDescent="0.3">
      <c r="A218" s="85">
        <v>3</v>
      </c>
      <c r="C218" s="85">
        <f>IF(E218=E217,C217+1,1)</f>
        <v>12</v>
      </c>
      <c r="D218" s="85">
        <f>IF(K218=K217,D217,C218)</f>
        <v>12</v>
      </c>
      <c r="E218" s="85">
        <f>10+VALUE(RIGHT(LEFT(G218,3),1))</f>
        <v>16</v>
      </c>
      <c r="F218" s="85" t="str">
        <f>RIGHT(G218,2) &amp; IF(A218&lt;2,"x","")</f>
        <v>pm</v>
      </c>
      <c r="G218" s="85" t="s">
        <v>385</v>
      </c>
      <c r="H218" s="85" t="s">
        <v>159</v>
      </c>
      <c r="I218" s="85" t="s">
        <v>386</v>
      </c>
      <c r="K218" s="86">
        <f>LOOKUP(1E+100,M218:AB218)</f>
        <v>2581.2018990502715</v>
      </c>
      <c r="M218" s="86">
        <v>2466.6666666666665</v>
      </c>
      <c r="P218" s="85">
        <v>2581.2018990502715</v>
      </c>
    </row>
    <row r="219" spans="1:17" x14ac:dyDescent="0.3">
      <c r="A219" s="85">
        <v>2</v>
      </c>
      <c r="C219" s="85">
        <f>IF(E219=E218,C218+1,1)</f>
        <v>13</v>
      </c>
      <c r="D219" s="85">
        <f>IF(K219=K218,D218,C219)</f>
        <v>13</v>
      </c>
      <c r="E219" s="85">
        <f>10+VALUE(RIGHT(LEFT(G219,3),1))</f>
        <v>16</v>
      </c>
      <c r="F219" s="85" t="str">
        <f>RIGHT(G219,2) &amp; IF(A219&lt;2,"x","")</f>
        <v>pm</v>
      </c>
      <c r="G219" s="85" t="s">
        <v>856</v>
      </c>
      <c r="H219" s="85" t="s">
        <v>534</v>
      </c>
      <c r="I219" s="85" t="s">
        <v>857</v>
      </c>
      <c r="K219" s="86">
        <f>LOOKUP(1E+100,M219:AB219)</f>
        <v>2579.4507109220276</v>
      </c>
      <c r="M219" s="86">
        <v>2600</v>
      </c>
      <c r="Q219" s="85">
        <v>2579.4507109220276</v>
      </c>
    </row>
    <row r="220" spans="1:17" x14ac:dyDescent="0.3">
      <c r="A220" s="85">
        <v>2</v>
      </c>
      <c r="C220" s="85">
        <f>IF(E220=E219,C219+1,1)</f>
        <v>14</v>
      </c>
      <c r="D220" s="85">
        <f>IF(K220=K219,D219,C220)</f>
        <v>14</v>
      </c>
      <c r="E220" s="85">
        <f>10+VALUE(RIGHT(LEFT(G220,3),1))</f>
        <v>16</v>
      </c>
      <c r="F220" s="85" t="str">
        <f>RIGHT(G220,2) &amp; IF(A220&lt;2,"x","")</f>
        <v>pm</v>
      </c>
      <c r="G220" s="85" t="s">
        <v>864</v>
      </c>
      <c r="H220" s="85" t="s">
        <v>331</v>
      </c>
      <c r="I220" s="85" t="s">
        <v>865</v>
      </c>
      <c r="K220" s="86">
        <f>LOOKUP(1E+100,M220:AB220)</f>
        <v>2575.1856509639724</v>
      </c>
      <c r="M220" s="86">
        <v>2600</v>
      </c>
      <c r="P220" s="85">
        <v>2575.1856509639724</v>
      </c>
    </row>
    <row r="221" spans="1:17" x14ac:dyDescent="0.3">
      <c r="A221" s="85">
        <v>3</v>
      </c>
      <c r="C221" s="85">
        <f>IF(E221=E220,C220+1,1)</f>
        <v>15</v>
      </c>
      <c r="D221" s="85">
        <f>IF(K221=K220,D220,C221)</f>
        <v>15</v>
      </c>
      <c r="E221" s="85">
        <f>10+VALUE(RIGHT(LEFT(G221,3),1))</f>
        <v>16</v>
      </c>
      <c r="F221" s="85" t="str">
        <f>RIGHT(G221,2) &amp; IF(A221&lt;2,"x","")</f>
        <v>pm</v>
      </c>
      <c r="G221" s="85" t="s">
        <v>355</v>
      </c>
      <c r="H221" s="85" t="s">
        <v>175</v>
      </c>
      <c r="I221" s="85" t="s">
        <v>844</v>
      </c>
      <c r="K221" s="86">
        <f>LOOKUP(1E+100,M221:AB221)</f>
        <v>2567.1046561128701</v>
      </c>
      <c r="M221" s="86">
        <v>2600</v>
      </c>
      <c r="O221" s="85">
        <v>2672.5298221415514</v>
      </c>
      <c r="P221" s="85">
        <v>2567.1046561128701</v>
      </c>
    </row>
    <row r="222" spans="1:17" x14ac:dyDescent="0.3">
      <c r="A222" s="85">
        <v>4</v>
      </c>
      <c r="C222" s="85">
        <f>IF(E222=E221,C221+1,1)</f>
        <v>16</v>
      </c>
      <c r="D222" s="85">
        <f>IF(K222=K221,D221,C222)</f>
        <v>16</v>
      </c>
      <c r="E222" s="85">
        <f>10+VALUE(RIGHT(LEFT(G222,3),1))</f>
        <v>16</v>
      </c>
      <c r="F222" s="85" t="str">
        <f>RIGHT(G222,2) &amp; IF(A222&lt;2,"x","")</f>
        <v>pm</v>
      </c>
      <c r="G222" s="85" t="s">
        <v>851</v>
      </c>
      <c r="H222" s="85" t="s">
        <v>162</v>
      </c>
      <c r="I222" s="85" t="s">
        <v>852</v>
      </c>
      <c r="K222" s="86">
        <f>LOOKUP(1E+100,M222:AB222)</f>
        <v>2563.6487837848899</v>
      </c>
      <c r="M222" s="86">
        <v>2600</v>
      </c>
      <c r="O222" s="85">
        <v>2563.6487837848899</v>
      </c>
    </row>
    <row r="223" spans="1:17" x14ac:dyDescent="0.3">
      <c r="A223" s="85">
        <v>2</v>
      </c>
      <c r="C223" s="85">
        <f>IF(E223=E222,C222+1,1)</f>
        <v>17</v>
      </c>
      <c r="D223" s="85">
        <f>IF(K223=K222,D222,C223)</f>
        <v>17</v>
      </c>
      <c r="E223" s="85">
        <f>10+VALUE(RIGHT(LEFT(G223,3),1))</f>
        <v>16</v>
      </c>
      <c r="F223" s="85" t="str">
        <f>RIGHT(G223,2) &amp; IF(A223&lt;2,"x","")</f>
        <v>pm</v>
      </c>
      <c r="G223" s="85" t="s">
        <v>902</v>
      </c>
      <c r="H223" s="85" t="s">
        <v>206</v>
      </c>
      <c r="I223" s="85" t="s">
        <v>903</v>
      </c>
      <c r="K223" s="86">
        <f>LOOKUP(1E+100,M223:AB223)</f>
        <v>2559.6004804126883</v>
      </c>
      <c r="M223" s="86">
        <v>2400</v>
      </c>
      <c r="P223" s="85">
        <v>2559.6004804126883</v>
      </c>
    </row>
    <row r="224" spans="1:17" x14ac:dyDescent="0.3">
      <c r="A224" s="85">
        <v>5</v>
      </c>
      <c r="C224" s="85">
        <f>IF(E224=E223,C223+1,1)</f>
        <v>18</v>
      </c>
      <c r="D224" s="85">
        <f>IF(K224=K223,D223,C224)</f>
        <v>18</v>
      </c>
      <c r="E224" s="85">
        <f>10+VALUE(RIGHT(LEFT(G224,3),1))</f>
        <v>16</v>
      </c>
      <c r="F224" s="85" t="str">
        <f>RIGHT(G224,2) &amp; IF(A224&lt;2,"x","")</f>
        <v>pm</v>
      </c>
      <c r="G224" s="85" t="s">
        <v>853</v>
      </c>
      <c r="H224" s="85" t="s">
        <v>236</v>
      </c>
      <c r="I224" s="85" t="s">
        <v>854</v>
      </c>
      <c r="K224" s="86">
        <f>LOOKUP(1E+100,M224:AB224)</f>
        <v>2545.1767463852784</v>
      </c>
      <c r="M224" s="86">
        <v>2600</v>
      </c>
      <c r="P224" s="85">
        <v>2524.8183993026673</v>
      </c>
      <c r="Q224" s="85">
        <v>2545.1767463852784</v>
      </c>
    </row>
    <row r="225" spans="1:18" x14ac:dyDescent="0.3">
      <c r="A225" s="85">
        <v>7</v>
      </c>
      <c r="C225" s="85">
        <f>IF(E225=E224,C224+1,1)</f>
        <v>19</v>
      </c>
      <c r="D225" s="85">
        <f>IF(K225=K224,D224,C225)</f>
        <v>19</v>
      </c>
      <c r="E225" s="85">
        <f>10+VALUE(RIGHT(LEFT(G225,3),1))</f>
        <v>16</v>
      </c>
      <c r="F225" s="85" t="str">
        <f>RIGHT(G225,2) &amp; IF(A225&lt;2,"x","")</f>
        <v>pm</v>
      </c>
      <c r="G225" s="85" t="s">
        <v>364</v>
      </c>
      <c r="H225" s="85" t="s">
        <v>153</v>
      </c>
      <c r="I225" s="85" t="s">
        <v>849</v>
      </c>
      <c r="K225" s="86">
        <f>LOOKUP(1E+100,M225:AB225)</f>
        <v>2530.5046236731951</v>
      </c>
      <c r="M225" s="86">
        <v>2600</v>
      </c>
      <c r="O225" s="85">
        <v>2593.0976126550672</v>
      </c>
      <c r="P225" s="85">
        <v>2553.0896955519429</v>
      </c>
      <c r="Q225" s="85">
        <v>2530.5046236731951</v>
      </c>
    </row>
    <row r="226" spans="1:18" x14ac:dyDescent="0.3">
      <c r="A226" s="85">
        <v>4</v>
      </c>
      <c r="C226" s="85">
        <f>IF(E226=E225,C225+1,1)</f>
        <v>20</v>
      </c>
      <c r="D226" s="85">
        <f>IF(K226=K225,D225,C226)</f>
        <v>20</v>
      </c>
      <c r="E226" s="85">
        <f>10+VALUE(RIGHT(LEFT(G226,3),1))</f>
        <v>16</v>
      </c>
      <c r="F226" s="85" t="str">
        <f>RIGHT(G226,2) &amp; IF(A226&lt;2,"x","")</f>
        <v>pm</v>
      </c>
      <c r="G226" s="85" t="s">
        <v>383</v>
      </c>
      <c r="H226" s="85" t="s">
        <v>497</v>
      </c>
      <c r="I226" s="85" t="s">
        <v>855</v>
      </c>
      <c r="K226" s="86">
        <f>LOOKUP(1E+100,M226:AB226)</f>
        <v>2515.2106931687822</v>
      </c>
      <c r="M226" s="86">
        <v>2600</v>
      </c>
      <c r="P226" s="85">
        <v>2503.9998422119766</v>
      </c>
      <c r="Q226" s="85">
        <v>2515.2106931687822</v>
      </c>
    </row>
    <row r="227" spans="1:18" x14ac:dyDescent="0.3">
      <c r="A227" s="85">
        <v>5</v>
      </c>
      <c r="C227" s="85">
        <f>IF(E227=E226,C226+1,1)</f>
        <v>21</v>
      </c>
      <c r="D227" s="85">
        <f>IF(K227=K226,D226,C227)</f>
        <v>21</v>
      </c>
      <c r="E227" s="85">
        <f>10+VALUE(RIGHT(LEFT(G227,3),1))</f>
        <v>16</v>
      </c>
      <c r="F227" s="85" t="str">
        <f>RIGHT(G227,2) &amp; IF(A227&lt;2,"x","")</f>
        <v>pm</v>
      </c>
      <c r="G227" s="85" t="s">
        <v>371</v>
      </c>
      <c r="H227" s="85" t="s">
        <v>167</v>
      </c>
      <c r="I227" s="85" t="s">
        <v>858</v>
      </c>
      <c r="K227" s="86">
        <f>LOOKUP(1E+100,M227:AB227)</f>
        <v>2479.0279188189843</v>
      </c>
      <c r="M227" s="86">
        <v>2600</v>
      </c>
      <c r="O227" s="85">
        <v>2527.0281820476162</v>
      </c>
      <c r="Q227" s="85">
        <v>2479.0279188189843</v>
      </c>
    </row>
    <row r="228" spans="1:18" x14ac:dyDescent="0.3">
      <c r="A228" s="85">
        <v>5</v>
      </c>
      <c r="C228" s="85">
        <f>IF(E228=E227,C227+1,1)</f>
        <v>22</v>
      </c>
      <c r="D228" s="85">
        <f>IF(K228=K227,D227,C228)</f>
        <v>22</v>
      </c>
      <c r="E228" s="85">
        <f>10+VALUE(RIGHT(LEFT(G228,3),1))</f>
        <v>16</v>
      </c>
      <c r="F228" s="85" t="str">
        <f>RIGHT(G228,2) &amp; IF(A228&lt;2,"x","")</f>
        <v>pm</v>
      </c>
      <c r="G228" s="85" t="s">
        <v>899</v>
      </c>
      <c r="H228" s="85" t="s">
        <v>526</v>
      </c>
      <c r="I228" s="85" t="s">
        <v>900</v>
      </c>
      <c r="K228" s="86">
        <f>LOOKUP(1E+100,M228:AB228)</f>
        <v>2463.775049186359</v>
      </c>
      <c r="M228" s="86">
        <v>2440</v>
      </c>
      <c r="O228" s="85">
        <v>2451.2167880233792</v>
      </c>
      <c r="R228" s="85">
        <v>2463.775049186359</v>
      </c>
    </row>
    <row r="229" spans="1:18" x14ac:dyDescent="0.3">
      <c r="A229" s="85">
        <v>5</v>
      </c>
      <c r="C229" s="85">
        <f>IF(E229=E228,C228+1,1)</f>
        <v>23</v>
      </c>
      <c r="D229" s="85">
        <f>IF(K229=K228,D228,C229)</f>
        <v>23</v>
      </c>
      <c r="E229" s="85">
        <f>10+VALUE(RIGHT(LEFT(G229,3),1))</f>
        <v>16</v>
      </c>
      <c r="F229" s="85" t="str">
        <f>RIGHT(G229,2) &amp; IF(A229&lt;2,"x","")</f>
        <v>pm</v>
      </c>
      <c r="G229" s="85" t="s">
        <v>396</v>
      </c>
      <c r="H229" s="85" t="s">
        <v>562</v>
      </c>
      <c r="I229" s="85" t="s">
        <v>397</v>
      </c>
      <c r="K229" s="86">
        <f>LOOKUP(1E+100,M229:AB229)</f>
        <v>2444.33874364762</v>
      </c>
      <c r="M229" s="86">
        <v>2360</v>
      </c>
      <c r="N229" s="85">
        <v>2378.6478158384998</v>
      </c>
      <c r="P229" s="85">
        <v>2399.7073966884218</v>
      </c>
      <c r="R229" s="85">
        <v>2444.33874364762</v>
      </c>
    </row>
    <row r="230" spans="1:18" x14ac:dyDescent="0.3">
      <c r="A230" s="85">
        <v>3</v>
      </c>
      <c r="C230" s="85">
        <f>IF(E230=E229,C229+1,1)</f>
        <v>24</v>
      </c>
      <c r="D230" s="85">
        <f>IF(K230=K229,D229,C230)</f>
        <v>24</v>
      </c>
      <c r="E230" s="85">
        <f>10+VALUE(RIGHT(LEFT(G230,3),1))</f>
        <v>16</v>
      </c>
      <c r="F230" s="85" t="str">
        <f>RIGHT(G230,2) &amp; IF(A230&lt;2,"x","")</f>
        <v>pm</v>
      </c>
      <c r="G230" s="85" t="s">
        <v>387</v>
      </c>
      <c r="H230" s="85" t="s">
        <v>159</v>
      </c>
      <c r="I230" s="85" t="s">
        <v>908</v>
      </c>
      <c r="K230" s="86">
        <f>LOOKUP(1E+100,M230:AB230)</f>
        <v>2440.4966018677383</v>
      </c>
      <c r="M230" s="86">
        <v>2333.3333333333335</v>
      </c>
      <c r="P230" s="85">
        <v>2440.4966018677383</v>
      </c>
    </row>
    <row r="231" spans="1:18" x14ac:dyDescent="0.3">
      <c r="A231" s="85">
        <v>4</v>
      </c>
      <c r="C231" s="85">
        <f>IF(E231=E230,C230+1,1)</f>
        <v>25</v>
      </c>
      <c r="D231" s="85">
        <f>IF(K231=K230,D230,C231)</f>
        <v>25</v>
      </c>
      <c r="E231" s="85">
        <f>10+VALUE(RIGHT(LEFT(G231,3),1))</f>
        <v>16</v>
      </c>
      <c r="F231" s="85" t="str">
        <f>RIGHT(G231,2) &amp; IF(A231&lt;2,"x","")</f>
        <v>pm</v>
      </c>
      <c r="G231" s="85" t="s">
        <v>897</v>
      </c>
      <c r="H231" s="85" t="s">
        <v>675</v>
      </c>
      <c r="I231" s="85" t="s">
        <v>898</v>
      </c>
      <c r="K231" s="86">
        <f>LOOKUP(1E+100,M231:AB231)</f>
        <v>2435.5218465919183</v>
      </c>
      <c r="M231" s="86">
        <v>2500</v>
      </c>
      <c r="N231" s="85">
        <v>2435.5218465919183</v>
      </c>
    </row>
    <row r="232" spans="1:18" x14ac:dyDescent="0.3">
      <c r="A232" s="85">
        <v>4</v>
      </c>
      <c r="C232" s="85">
        <f>IF(E232=E231,C231+1,1)</f>
        <v>26</v>
      </c>
      <c r="D232" s="85">
        <f>IF(K232=K231,D231,C232)</f>
        <v>26</v>
      </c>
      <c r="E232" s="85">
        <f>10+VALUE(RIGHT(LEFT(G232,3),1))</f>
        <v>16</v>
      </c>
      <c r="F232" s="85" t="str">
        <f>RIGHT(G232,2) &amp; IF(A232&lt;2,"x","")</f>
        <v>pm</v>
      </c>
      <c r="G232" s="85" t="s">
        <v>368</v>
      </c>
      <c r="H232" s="85" t="s">
        <v>163</v>
      </c>
      <c r="I232" s="85" t="s">
        <v>901</v>
      </c>
      <c r="K232" s="86">
        <f>LOOKUP(1E+100,M232:AB232)</f>
        <v>2429.9562010977725</v>
      </c>
      <c r="M232" s="86">
        <v>2400</v>
      </c>
      <c r="P232" s="85">
        <v>2398.7776442920149</v>
      </c>
      <c r="Q232" s="85">
        <v>2429.9562010977725</v>
      </c>
    </row>
    <row r="233" spans="1:18" x14ac:dyDescent="0.3">
      <c r="A233" s="85">
        <v>6</v>
      </c>
      <c r="C233" s="85">
        <f>IF(E233=E232,C232+1,1)</f>
        <v>27</v>
      </c>
      <c r="D233" s="85">
        <f>IF(K233=K232,D232,C233)</f>
        <v>27</v>
      </c>
      <c r="E233" s="85">
        <f>10+VALUE(RIGHT(LEFT(G233,3),1))</f>
        <v>16</v>
      </c>
      <c r="F233" s="85" t="str">
        <f>RIGHT(G233,2) &amp; IF(A233&lt;2,"x","")</f>
        <v>pm</v>
      </c>
      <c r="G233" s="85" t="s">
        <v>377</v>
      </c>
      <c r="H233" s="85" t="s">
        <v>177</v>
      </c>
      <c r="I233" s="85" t="s">
        <v>378</v>
      </c>
      <c r="K233" s="86">
        <f>LOOKUP(1E+100,M233:AB233)</f>
        <v>2426.3630241308842</v>
      </c>
      <c r="M233" s="86">
        <v>2600</v>
      </c>
      <c r="O233" s="85">
        <v>2576.6911553687651</v>
      </c>
      <c r="P233" s="85">
        <v>2447.7127781169233</v>
      </c>
      <c r="Q233" s="85">
        <v>2426.3630241308842</v>
      </c>
    </row>
    <row r="234" spans="1:18" x14ac:dyDescent="0.3">
      <c r="A234" s="85">
        <v>5</v>
      </c>
      <c r="C234" s="85">
        <f>IF(E234=E233,C233+1,1)</f>
        <v>28</v>
      </c>
      <c r="D234" s="85">
        <f>IF(K234=K233,D233,C234)</f>
        <v>28</v>
      </c>
      <c r="E234" s="85">
        <f>10+VALUE(RIGHT(LEFT(G234,3),1))</f>
        <v>16</v>
      </c>
      <c r="F234" s="85" t="str">
        <f>RIGHT(G234,2) &amp; IF(A234&lt;2,"x","")</f>
        <v>pm</v>
      </c>
      <c r="G234" s="85" t="s">
        <v>395</v>
      </c>
      <c r="H234" s="85" t="s">
        <v>167</v>
      </c>
      <c r="I234" s="85" t="s">
        <v>859</v>
      </c>
      <c r="K234" s="86">
        <f>LOOKUP(1E+100,M234:AB234)</f>
        <v>2420.7473380462216</v>
      </c>
      <c r="M234" s="86">
        <v>2600</v>
      </c>
      <c r="O234" s="85">
        <v>2506.0968226223522</v>
      </c>
      <c r="Q234" s="85">
        <v>2420.7473380462216</v>
      </c>
    </row>
    <row r="235" spans="1:18" x14ac:dyDescent="0.3">
      <c r="A235" s="85">
        <v>5</v>
      </c>
      <c r="C235" s="85">
        <f>IF(E235=E234,C234+1,1)</f>
        <v>29</v>
      </c>
      <c r="D235" s="85">
        <f>IF(K235=K234,D234,C235)</f>
        <v>29</v>
      </c>
      <c r="E235" s="85">
        <f>10+VALUE(RIGHT(LEFT(G235,3),1))</f>
        <v>16</v>
      </c>
      <c r="F235" s="85" t="str">
        <f>RIGHT(G235,2) &amp; IF(A235&lt;2,"x","")</f>
        <v>pm</v>
      </c>
      <c r="G235" s="85" t="s">
        <v>388</v>
      </c>
      <c r="H235" s="85" t="s">
        <v>549</v>
      </c>
      <c r="I235" s="85" t="s">
        <v>911</v>
      </c>
      <c r="K235" s="86">
        <f>LOOKUP(1E+100,M235:AB235)</f>
        <v>2414.7958578041998</v>
      </c>
      <c r="M235" s="86">
        <v>2320</v>
      </c>
      <c r="N235" s="85">
        <v>2349.5946590373273</v>
      </c>
      <c r="P235" s="85">
        <v>2452.2858462021122</v>
      </c>
      <c r="R235" s="85">
        <v>2414.7958578041998</v>
      </c>
    </row>
    <row r="236" spans="1:18" x14ac:dyDescent="0.3">
      <c r="A236" s="85">
        <v>2</v>
      </c>
      <c r="C236" s="85">
        <f>IF(E236=E235,C235+1,1)</f>
        <v>30</v>
      </c>
      <c r="D236" s="85">
        <f>IF(K236=K235,D235,C236)</f>
        <v>30</v>
      </c>
      <c r="E236" s="85">
        <f>10+VALUE(RIGHT(LEFT(G236,3),1))</f>
        <v>16</v>
      </c>
      <c r="F236" s="85" t="str">
        <f>RIGHT(G236,2) &amp; IF(A236&lt;2,"x","")</f>
        <v>pm</v>
      </c>
      <c r="G236" s="85" t="s">
        <v>389</v>
      </c>
      <c r="H236" s="85" t="s">
        <v>277</v>
      </c>
      <c r="I236" s="85" t="s">
        <v>390</v>
      </c>
      <c r="K236" s="86">
        <f>LOOKUP(1E+100,M236:AB236)</f>
        <v>2412.7691341746354</v>
      </c>
      <c r="M236" s="86">
        <v>2400</v>
      </c>
      <c r="N236" s="85">
        <v>2412.7691341746354</v>
      </c>
    </row>
    <row r="237" spans="1:18" x14ac:dyDescent="0.3">
      <c r="A237" s="85">
        <v>6</v>
      </c>
      <c r="C237" s="85">
        <f>IF(E237=E236,C236+1,1)</f>
        <v>31</v>
      </c>
      <c r="D237" s="85">
        <f>IF(K237=K236,D236,C237)</f>
        <v>31</v>
      </c>
      <c r="E237" s="85">
        <f>10+VALUE(RIGHT(LEFT(G237,3),1))</f>
        <v>16</v>
      </c>
      <c r="F237" s="85" t="str">
        <f>RIGHT(G237,2) &amp; IF(A237&lt;2,"x","")</f>
        <v>pm</v>
      </c>
      <c r="G237" s="85" t="s">
        <v>393</v>
      </c>
      <c r="H237" s="85" t="s">
        <v>186</v>
      </c>
      <c r="I237" s="85" t="s">
        <v>896</v>
      </c>
      <c r="K237" s="86">
        <f>LOOKUP(1E+100,M237:AB237)</f>
        <v>2404.4111144743861</v>
      </c>
      <c r="M237" s="86">
        <v>2533.3333333333335</v>
      </c>
      <c r="O237" s="85">
        <v>2506.500676192396</v>
      </c>
      <c r="Q237" s="85">
        <v>2404.4111144743861</v>
      </c>
    </row>
    <row r="238" spans="1:18" x14ac:dyDescent="0.3">
      <c r="A238" s="85">
        <v>2</v>
      </c>
      <c r="C238" s="85">
        <f>IF(E238=E237,C237+1,1)</f>
        <v>32</v>
      </c>
      <c r="D238" s="85">
        <f>IF(K238=K237,D237,C238)</f>
        <v>32</v>
      </c>
      <c r="E238" s="85">
        <f>10+VALUE(RIGHT(LEFT(G238,3),1))</f>
        <v>16</v>
      </c>
      <c r="F238" s="85" t="str">
        <f>RIGHT(G238,2) &amp; IF(A238&lt;2,"x","")</f>
        <v>pm</v>
      </c>
      <c r="G238" s="85" t="s">
        <v>384</v>
      </c>
      <c r="H238" s="85" t="s">
        <v>159</v>
      </c>
      <c r="I238" s="85" t="s">
        <v>904</v>
      </c>
      <c r="K238" s="86">
        <f>LOOKUP(1E+100,M238:AB238)</f>
        <v>2400</v>
      </c>
      <c r="M238" s="86">
        <v>2400</v>
      </c>
    </row>
    <row r="239" spans="1:18" x14ac:dyDescent="0.3">
      <c r="A239" s="85">
        <v>4</v>
      </c>
      <c r="C239" s="85">
        <f>IF(E239=E238,C238+1,1)</f>
        <v>33</v>
      </c>
      <c r="D239" s="85">
        <f>IF(K239=K238,D238,C239)</f>
        <v>33</v>
      </c>
      <c r="E239" s="85">
        <f>10+VALUE(RIGHT(LEFT(G239,3),1))</f>
        <v>16</v>
      </c>
      <c r="F239" s="85" t="str">
        <f>RIGHT(G239,2) &amp; IF(A239&lt;2,"x","")</f>
        <v>pm</v>
      </c>
      <c r="G239" s="85" t="s">
        <v>912</v>
      </c>
      <c r="H239" s="85" t="s">
        <v>534</v>
      </c>
      <c r="I239" s="85" t="s">
        <v>913</v>
      </c>
      <c r="K239" s="86">
        <f>LOOKUP(1E+100,M239:AB239)</f>
        <v>2351.0771552233873</v>
      </c>
      <c r="M239" s="86">
        <v>2300</v>
      </c>
      <c r="P239" s="85">
        <v>2351.0771552233873</v>
      </c>
    </row>
    <row r="240" spans="1:18" x14ac:dyDescent="0.3">
      <c r="A240" s="85">
        <v>3</v>
      </c>
      <c r="C240" s="85">
        <f>IF(E240=E239,C239+1,1)</f>
        <v>34</v>
      </c>
      <c r="D240" s="85">
        <f>IF(K240=K239,D239,C240)</f>
        <v>34</v>
      </c>
      <c r="E240" s="85">
        <f>10+VALUE(RIGHT(LEFT(G240,3),1))</f>
        <v>16</v>
      </c>
      <c r="F240" s="85" t="str">
        <f>RIGHT(G240,2) &amp; IF(A240&lt;2,"x","")</f>
        <v>pm</v>
      </c>
      <c r="G240" s="85" t="s">
        <v>909</v>
      </c>
      <c r="H240" s="85" t="s">
        <v>159</v>
      </c>
      <c r="I240" s="85" t="s">
        <v>910</v>
      </c>
      <c r="K240" s="86">
        <f>LOOKUP(1E+100,M240:AB240)</f>
        <v>2348.2124168226542</v>
      </c>
      <c r="M240" s="86">
        <v>2333.3333333333335</v>
      </c>
      <c r="P240" s="85">
        <v>2348.2124168226542</v>
      </c>
    </row>
    <row r="241" spans="1:18" x14ac:dyDescent="0.3">
      <c r="A241" s="85">
        <v>6</v>
      </c>
      <c r="C241" s="85">
        <f>IF(E241=E240,C240+1,1)</f>
        <v>35</v>
      </c>
      <c r="D241" s="85">
        <f>IF(K241=K240,D240,C241)</f>
        <v>35</v>
      </c>
      <c r="E241" s="85">
        <f>10+VALUE(RIGHT(LEFT(G241,3),1))</f>
        <v>16</v>
      </c>
      <c r="F241" s="85" t="str">
        <f>RIGHT(G241,2) &amp; IF(A241&lt;2,"x","")</f>
        <v>pm</v>
      </c>
      <c r="G241" s="85" t="s">
        <v>376</v>
      </c>
      <c r="H241" s="85" t="s">
        <v>308</v>
      </c>
      <c r="I241" s="85" t="s">
        <v>916</v>
      </c>
      <c r="K241" s="86">
        <f>LOOKUP(1E+100,M241:AB241)</f>
        <v>2316.1452674617358</v>
      </c>
      <c r="M241" s="86">
        <v>2266.6666666666665</v>
      </c>
      <c r="P241" s="85">
        <v>2282.9565164409532</v>
      </c>
      <c r="R241" s="85">
        <v>2316.1452674617358</v>
      </c>
    </row>
    <row r="242" spans="1:18" x14ac:dyDescent="0.3">
      <c r="A242" s="85">
        <v>7</v>
      </c>
      <c r="C242" s="85">
        <f>IF(E242=E241,C241+1,1)</f>
        <v>36</v>
      </c>
      <c r="D242" s="85">
        <f>IF(K242=K241,D241,C242)</f>
        <v>36</v>
      </c>
      <c r="E242" s="85">
        <f>10+VALUE(RIGHT(LEFT(G242,3),1))</f>
        <v>16</v>
      </c>
      <c r="F242" s="85" t="str">
        <f>RIGHT(G242,2) &amp; IF(A242&lt;2,"x","")</f>
        <v>pm</v>
      </c>
      <c r="G242" s="85" t="s">
        <v>359</v>
      </c>
      <c r="H242" s="85" t="s">
        <v>342</v>
      </c>
      <c r="I242" s="85" t="s">
        <v>847</v>
      </c>
      <c r="K242" s="86">
        <f>LOOKUP(1E+100,M242:AB242)</f>
        <v>2297.2781864265162</v>
      </c>
      <c r="M242" s="86">
        <v>2600</v>
      </c>
      <c r="O242" s="85">
        <v>2472.9439059976125</v>
      </c>
      <c r="P242" s="85">
        <v>2358.4875528013863</v>
      </c>
      <c r="Q242" s="85">
        <v>2297.2781864265162</v>
      </c>
    </row>
    <row r="243" spans="1:18" x14ac:dyDescent="0.3">
      <c r="A243" s="85">
        <v>3</v>
      </c>
      <c r="C243" s="85">
        <f>IF(E243=E242,C242+1,1)</f>
        <v>37</v>
      </c>
      <c r="D243" s="85">
        <f>IF(K243=K242,D242,C243)</f>
        <v>37</v>
      </c>
      <c r="E243" s="85">
        <f>10+VALUE(RIGHT(LEFT(G243,3),1))</f>
        <v>16</v>
      </c>
      <c r="F243" s="85" t="str">
        <f>RIGHT(G243,2) &amp; IF(A243&lt;2,"x","")</f>
        <v>pm</v>
      </c>
      <c r="G243" s="85" t="s">
        <v>379</v>
      </c>
      <c r="H243" s="85" t="s">
        <v>277</v>
      </c>
      <c r="I243" s="85" t="s">
        <v>907</v>
      </c>
      <c r="K243" s="86">
        <f>LOOKUP(1E+100,M243:AB243)</f>
        <v>2294.7471419006729</v>
      </c>
      <c r="M243" s="86">
        <v>2333.3333333333335</v>
      </c>
      <c r="O243" s="85">
        <v>2350.4492194249574</v>
      </c>
      <c r="R243" s="85">
        <v>2294.7471419006729</v>
      </c>
    </row>
    <row r="244" spans="1:18" x14ac:dyDescent="0.3">
      <c r="A244" s="85">
        <v>5</v>
      </c>
      <c r="C244" s="85">
        <f>IF(E244=E243,C243+1,1)</f>
        <v>38</v>
      </c>
      <c r="D244" s="85">
        <f>IF(K244=K243,D243,C244)</f>
        <v>38</v>
      </c>
      <c r="E244" s="85">
        <f>10+VALUE(RIGHT(LEFT(G244,3),1))</f>
        <v>16</v>
      </c>
      <c r="F244" s="85" t="str">
        <f>RIGHT(G244,2) &amp; IF(A244&lt;2,"x","")</f>
        <v>pm</v>
      </c>
      <c r="G244" s="85" t="s">
        <v>924</v>
      </c>
      <c r="H244" s="85" t="s">
        <v>175</v>
      </c>
      <c r="I244" s="85" t="s">
        <v>925</v>
      </c>
      <c r="K244" s="86">
        <f>LOOKUP(1E+100,M244:AB244)</f>
        <v>2246.0256926694246</v>
      </c>
      <c r="M244" s="86">
        <v>2200</v>
      </c>
      <c r="N244" s="85">
        <v>2160.485456451649</v>
      </c>
      <c r="P244" s="85">
        <v>2246.0256926694246</v>
      </c>
    </row>
    <row r="245" spans="1:18" x14ac:dyDescent="0.3">
      <c r="A245" s="85">
        <v>4</v>
      </c>
      <c r="C245" s="85">
        <f>IF(E245=E244,C244+1,1)</f>
        <v>39</v>
      </c>
      <c r="D245" s="85">
        <f>IF(K245=K244,D244,C245)</f>
        <v>39</v>
      </c>
      <c r="E245" s="85">
        <f>10+VALUE(RIGHT(LEFT(G245,3),1))</f>
        <v>16</v>
      </c>
      <c r="F245" s="85" t="str">
        <f>RIGHT(G245,2) &amp; IF(A245&lt;2,"x","")</f>
        <v>pm</v>
      </c>
      <c r="G245" s="85" t="s">
        <v>914</v>
      </c>
      <c r="H245" s="85" t="s">
        <v>331</v>
      </c>
      <c r="I245" s="85" t="s">
        <v>915</v>
      </c>
      <c r="K245" s="86">
        <f>LOOKUP(1E+100,M245:AB245)</f>
        <v>2228.6080523393039</v>
      </c>
      <c r="M245" s="86">
        <v>2300</v>
      </c>
      <c r="N245" s="85">
        <v>2240.5536622425197</v>
      </c>
      <c r="P245" s="85">
        <v>2228.6080523393039</v>
      </c>
    </row>
    <row r="246" spans="1:18" x14ac:dyDescent="0.3">
      <c r="A246" s="85">
        <v>6</v>
      </c>
      <c r="C246" s="85">
        <f>IF(E246=E245,C245+1,1)</f>
        <v>40</v>
      </c>
      <c r="D246" s="85">
        <f>IF(K246=K245,D245,C246)</f>
        <v>40</v>
      </c>
      <c r="E246" s="85">
        <f>10+VALUE(RIGHT(LEFT(G246,3),1))</f>
        <v>16</v>
      </c>
      <c r="F246" s="85" t="str">
        <f>RIGHT(G246,2) &amp; IF(A246&lt;2,"x","")</f>
        <v>pm</v>
      </c>
      <c r="G246" s="85" t="s">
        <v>391</v>
      </c>
      <c r="H246" s="85" t="s">
        <v>392</v>
      </c>
      <c r="I246" s="85" t="s">
        <v>917</v>
      </c>
      <c r="K246" s="86">
        <f>LOOKUP(1E+100,M246:AB246)</f>
        <v>2205.2983897548643</v>
      </c>
      <c r="M246" s="86">
        <v>2200</v>
      </c>
      <c r="N246" s="85">
        <v>2177.6728316862236</v>
      </c>
      <c r="P246" s="85">
        <v>2266.6337502919241</v>
      </c>
      <c r="R246" s="85">
        <v>2205.2983897548643</v>
      </c>
    </row>
    <row r="247" spans="1:18" x14ac:dyDescent="0.3">
      <c r="A247" s="85">
        <v>2</v>
      </c>
      <c r="C247" s="85">
        <f>IF(E247=E246,C246+1,1)</f>
        <v>41</v>
      </c>
      <c r="D247" s="85">
        <f>IF(K247=K246,D246,C247)</f>
        <v>41</v>
      </c>
      <c r="E247" s="85">
        <f>10+VALUE(RIGHT(LEFT(G247,3),1))</f>
        <v>16</v>
      </c>
      <c r="F247" s="85" t="str">
        <f>RIGHT(G247,2) &amp; IF(A247&lt;2,"x","")</f>
        <v>pm</v>
      </c>
      <c r="G247" s="85" t="s">
        <v>918</v>
      </c>
      <c r="H247" s="85" t="s">
        <v>515</v>
      </c>
      <c r="I247" s="85" t="s">
        <v>919</v>
      </c>
      <c r="K247" s="86">
        <f>LOOKUP(1E+100,M247:AB247)</f>
        <v>2200</v>
      </c>
      <c r="M247" s="86">
        <v>2200</v>
      </c>
    </row>
    <row r="248" spans="1:18" x14ac:dyDescent="0.3">
      <c r="A248" s="85">
        <v>2</v>
      </c>
      <c r="C248" s="85">
        <f>IF(E248=E247,C247+1,1)</f>
        <v>42</v>
      </c>
      <c r="D248" s="85">
        <f>IF(K248=K247,D247,C248)</f>
        <v>41</v>
      </c>
      <c r="E248" s="85">
        <f>10+VALUE(RIGHT(LEFT(G248,3),1))</f>
        <v>16</v>
      </c>
      <c r="F248" s="85" t="str">
        <f>RIGHT(G248,2) &amp; IF(A248&lt;2,"x","")</f>
        <v>pm</v>
      </c>
      <c r="G248" s="85" t="s">
        <v>935</v>
      </c>
      <c r="H248" s="85" t="s">
        <v>675</v>
      </c>
      <c r="I248" s="85" t="s">
        <v>936</v>
      </c>
      <c r="K248" s="86">
        <f>LOOKUP(1E+100,M248:AB248)</f>
        <v>2200</v>
      </c>
      <c r="M248" s="86">
        <v>2200</v>
      </c>
    </row>
    <row r="249" spans="1:18" x14ac:dyDescent="0.3">
      <c r="A249" s="85">
        <v>4</v>
      </c>
      <c r="C249" s="85">
        <f>IF(E249=E248,C248+1,1)</f>
        <v>43</v>
      </c>
      <c r="D249" s="85">
        <f>IF(K249=K248,D248,C249)</f>
        <v>43</v>
      </c>
      <c r="E249" s="85">
        <f>10+VALUE(RIGHT(LEFT(G249,3),1))</f>
        <v>16</v>
      </c>
      <c r="F249" s="85" t="str">
        <f>RIGHT(G249,2) &amp; IF(A249&lt;2,"x","")</f>
        <v>pm</v>
      </c>
      <c r="G249" s="85" t="s">
        <v>920</v>
      </c>
      <c r="H249" s="85" t="s">
        <v>339</v>
      </c>
      <c r="I249" s="85" t="s">
        <v>921</v>
      </c>
      <c r="K249" s="86">
        <f>LOOKUP(1E+100,M249:AB249)</f>
        <v>2189.1224640919872</v>
      </c>
      <c r="M249" s="86">
        <v>2200</v>
      </c>
      <c r="P249" s="85">
        <v>2189.1224640919872</v>
      </c>
    </row>
    <row r="250" spans="1:18" x14ac:dyDescent="0.3">
      <c r="A250" s="85">
        <v>4</v>
      </c>
      <c r="C250" s="85">
        <f>IF(E250=E249,C249+1,1)</f>
        <v>44</v>
      </c>
      <c r="D250" s="85">
        <f>IF(K250=K249,D249,C250)</f>
        <v>44</v>
      </c>
      <c r="E250" s="85">
        <f>10+VALUE(RIGHT(LEFT(G250,3),1))</f>
        <v>16</v>
      </c>
      <c r="F250" s="85" t="str">
        <f>RIGHT(G250,2) &amp; IF(A250&lt;2,"x","")</f>
        <v>pm</v>
      </c>
      <c r="G250" s="85" t="s">
        <v>362</v>
      </c>
      <c r="H250" s="85" t="s">
        <v>150</v>
      </c>
      <c r="I250" s="85" t="s">
        <v>363</v>
      </c>
      <c r="K250" s="86">
        <f>LOOKUP(1E+100,M250:AB250)</f>
        <v>2167.4604437792609</v>
      </c>
      <c r="M250" s="86">
        <v>2200</v>
      </c>
      <c r="P250" s="85">
        <v>2171.5338221361626</v>
      </c>
      <c r="R250" s="85">
        <v>2167.4604437792609</v>
      </c>
    </row>
    <row r="251" spans="1:18" x14ac:dyDescent="0.3">
      <c r="A251" s="85">
        <v>5</v>
      </c>
      <c r="C251" s="85">
        <f>IF(E251=E250,C250+1,1)</f>
        <v>45</v>
      </c>
      <c r="D251" s="85">
        <f>IF(K251=K250,D250,C251)</f>
        <v>45</v>
      </c>
      <c r="E251" s="85">
        <f>10+VALUE(RIGHT(LEFT(G251,3),1))</f>
        <v>16</v>
      </c>
      <c r="F251" s="85" t="str">
        <f>RIGHT(G251,2) &amp; IF(A251&lt;2,"x","")</f>
        <v>pm</v>
      </c>
      <c r="G251" s="85" t="s">
        <v>931</v>
      </c>
      <c r="H251" s="85" t="s">
        <v>242</v>
      </c>
      <c r="I251" s="85" t="s">
        <v>932</v>
      </c>
      <c r="K251" s="86">
        <f>LOOKUP(1E+100,M251:AB251)</f>
        <v>2138.4190841596073</v>
      </c>
      <c r="M251" s="86">
        <v>2200</v>
      </c>
      <c r="P251" s="85">
        <v>2163.4233364273991</v>
      </c>
      <c r="R251" s="85">
        <v>2138.4190841596073</v>
      </c>
    </row>
    <row r="252" spans="1:18" x14ac:dyDescent="0.3">
      <c r="A252" s="85">
        <v>7</v>
      </c>
      <c r="C252" s="85">
        <f>IF(E252=E251,C251+1,1)</f>
        <v>46</v>
      </c>
      <c r="D252" s="85">
        <f>IF(K252=K251,D251,C252)</f>
        <v>46</v>
      </c>
      <c r="E252" s="85">
        <f>10+VALUE(RIGHT(LEFT(G252,3),1))</f>
        <v>16</v>
      </c>
      <c r="F252" s="85" t="str">
        <f>RIGHT(G252,2) &amp; IF(A252&lt;2,"x","")</f>
        <v>pm</v>
      </c>
      <c r="G252" s="85" t="s">
        <v>394</v>
      </c>
      <c r="H252" s="85" t="s">
        <v>153</v>
      </c>
      <c r="I252" s="85" t="s">
        <v>930</v>
      </c>
      <c r="K252" s="86">
        <f>LOOKUP(1E+100,M252:AB252)</f>
        <v>2119.9258654445771</v>
      </c>
      <c r="M252" s="86">
        <v>2200</v>
      </c>
      <c r="N252" s="85">
        <v>2142.8617667366602</v>
      </c>
      <c r="P252" s="85">
        <v>2162.529492486251</v>
      </c>
      <c r="R252" s="85">
        <v>2119.9258654445771</v>
      </c>
    </row>
    <row r="253" spans="1:18" x14ac:dyDescent="0.3">
      <c r="A253" s="85">
        <v>6</v>
      </c>
      <c r="C253" s="85">
        <f>IF(E253=E252,C252+1,1)</f>
        <v>47</v>
      </c>
      <c r="D253" s="85">
        <f>IF(K253=K252,D252,C253)</f>
        <v>47</v>
      </c>
      <c r="E253" s="85">
        <f>10+VALUE(RIGHT(LEFT(G253,3),1))</f>
        <v>16</v>
      </c>
      <c r="F253" s="85" t="str">
        <f>RIGHT(G253,2) &amp; IF(A253&lt;2,"x","")</f>
        <v>pm</v>
      </c>
      <c r="G253" s="85" t="s">
        <v>928</v>
      </c>
      <c r="H253" s="85" t="s">
        <v>526</v>
      </c>
      <c r="I253" s="85" t="s">
        <v>929</v>
      </c>
      <c r="K253" s="86">
        <f>LOOKUP(1E+100,M253:AB253)</f>
        <v>2097.4331027739217</v>
      </c>
      <c r="M253" s="86">
        <v>2200</v>
      </c>
      <c r="P253" s="85">
        <v>2137.3159746233223</v>
      </c>
      <c r="R253" s="85">
        <v>2097.4331027739217</v>
      </c>
    </row>
    <row r="254" spans="1:18" x14ac:dyDescent="0.3">
      <c r="A254" s="85">
        <v>2</v>
      </c>
      <c r="C254" s="85">
        <f>IF(E254=E253,C253+1,1)</f>
        <v>48</v>
      </c>
      <c r="D254" s="85">
        <f>IF(K254=K253,D253,C254)</f>
        <v>48</v>
      </c>
      <c r="E254" s="85">
        <f>10+VALUE(RIGHT(LEFT(G254,3),1))</f>
        <v>16</v>
      </c>
      <c r="F254" s="85" t="str">
        <f>RIGHT(G254,2) &amp; IF(A254&lt;2,"x","")</f>
        <v>pm</v>
      </c>
      <c r="G254" s="85" t="s">
        <v>922</v>
      </c>
      <c r="H254" s="85" t="s">
        <v>519</v>
      </c>
      <c r="I254" s="85" t="s">
        <v>923</v>
      </c>
      <c r="K254" s="86">
        <f>LOOKUP(1E+100,M254:AB254)</f>
        <v>2096.2478710055943</v>
      </c>
      <c r="M254" s="86">
        <v>2200</v>
      </c>
      <c r="N254" s="85">
        <v>2124.4926134098159</v>
      </c>
      <c r="R254" s="85">
        <v>2096.2478710055943</v>
      </c>
    </row>
    <row r="255" spans="1:18" x14ac:dyDescent="0.3">
      <c r="A255" s="85">
        <v>7</v>
      </c>
      <c r="C255" s="85">
        <f>IF(E255=E254,C254+1,1)</f>
        <v>49</v>
      </c>
      <c r="D255" s="85">
        <f>IF(K255=K254,D254,C255)</f>
        <v>49</v>
      </c>
      <c r="E255" s="85">
        <f>10+VALUE(RIGHT(LEFT(G255,3),1))</f>
        <v>16</v>
      </c>
      <c r="F255" s="85" t="str">
        <f>RIGHT(G255,2) &amp; IF(A255&lt;2,"x","")</f>
        <v>pm</v>
      </c>
      <c r="G255" s="85" t="s">
        <v>926</v>
      </c>
      <c r="H255" s="85" t="s">
        <v>177</v>
      </c>
      <c r="I255" s="85" t="s">
        <v>927</v>
      </c>
      <c r="K255" s="86">
        <f>LOOKUP(1E+100,M255:AB255)</f>
        <v>2067.6599257225844</v>
      </c>
      <c r="M255" s="86">
        <v>2200</v>
      </c>
      <c r="N255" s="85">
        <v>2166.6305951950408</v>
      </c>
      <c r="P255" s="85">
        <v>2131.4347293190935</v>
      </c>
      <c r="R255" s="85">
        <v>2067.6599257225844</v>
      </c>
    </row>
    <row r="256" spans="1:18" x14ac:dyDescent="0.3">
      <c r="A256" s="85">
        <v>5</v>
      </c>
      <c r="C256" s="85">
        <f>IF(E256=E255,C255+1,1)</f>
        <v>50</v>
      </c>
      <c r="D256" s="85">
        <f>IF(K256=K255,D255,C256)</f>
        <v>50</v>
      </c>
      <c r="E256" s="85">
        <f>10+VALUE(RIGHT(LEFT(G256,3),1))</f>
        <v>16</v>
      </c>
      <c r="F256" s="85" t="str">
        <f>RIGHT(G256,2) &amp; IF(A256&lt;2,"x","")</f>
        <v>pm</v>
      </c>
      <c r="G256" s="85" t="s">
        <v>933</v>
      </c>
      <c r="H256" s="85" t="s">
        <v>242</v>
      </c>
      <c r="I256" s="85" t="s">
        <v>934</v>
      </c>
      <c r="K256" s="86">
        <f>LOOKUP(1E+100,M256:AB256)</f>
        <v>2013.3700384810331</v>
      </c>
      <c r="M256" s="86">
        <v>2200</v>
      </c>
      <c r="P256" s="85">
        <v>2120.6626175619003</v>
      </c>
      <c r="R256" s="85">
        <v>2013.3700384810331</v>
      </c>
    </row>
    <row r="257" spans="1:18" x14ac:dyDescent="0.3">
      <c r="A257" s="85">
        <v>2</v>
      </c>
      <c r="C257" s="85">
        <f>IF(E257=E256,C256+1,1)</f>
        <v>1</v>
      </c>
      <c r="D257" s="85">
        <f>IF(K257=K256,D256,C257)</f>
        <v>1</v>
      </c>
      <c r="E257" s="85">
        <f>10+VALUE(RIGHT(LEFT(G257,3),1))</f>
        <v>17</v>
      </c>
      <c r="F257" s="85" t="str">
        <f>RIGHT(G257,2) &amp; IF(A257&lt;2,"x","")</f>
        <v>pm</v>
      </c>
      <c r="G257" s="85" t="s">
        <v>401</v>
      </c>
      <c r="H257" s="85" t="s">
        <v>497</v>
      </c>
      <c r="I257" s="85" t="s">
        <v>958</v>
      </c>
      <c r="K257" s="86">
        <f>LOOKUP(1E+100,M257:AB257)</f>
        <v>2989.1118009591082</v>
      </c>
      <c r="M257" s="86">
        <v>2800</v>
      </c>
      <c r="P257" s="85">
        <v>2938.7757085360536</v>
      </c>
      <c r="Q257" s="85">
        <v>2989.1118009591082</v>
      </c>
    </row>
    <row r="258" spans="1:18" x14ac:dyDescent="0.3">
      <c r="A258" s="85">
        <v>2</v>
      </c>
      <c r="C258" s="85">
        <f>IF(E258=E257,C257+1,1)</f>
        <v>2</v>
      </c>
      <c r="D258" s="85">
        <f>IF(K258=K257,D257,C258)</f>
        <v>2</v>
      </c>
      <c r="E258" s="85">
        <f>10+VALUE(RIGHT(LEFT(G258,3),1))</f>
        <v>17</v>
      </c>
      <c r="F258" s="85" t="str">
        <f>RIGHT(G258,2) &amp; IF(A258&lt;2,"x","")</f>
        <v>pm</v>
      </c>
      <c r="G258" s="85" t="s">
        <v>402</v>
      </c>
      <c r="H258" s="85" t="s">
        <v>167</v>
      </c>
      <c r="I258" s="85" t="s">
        <v>959</v>
      </c>
      <c r="K258" s="86">
        <f>LOOKUP(1E+100,M258:AB258)</f>
        <v>2884.1231986417042</v>
      </c>
      <c r="M258" s="86">
        <v>2800</v>
      </c>
      <c r="Q258" s="85">
        <v>2884.1231986417042</v>
      </c>
    </row>
    <row r="259" spans="1:18" x14ac:dyDescent="0.3">
      <c r="A259" s="85">
        <v>5</v>
      </c>
      <c r="C259" s="85">
        <f>IF(E259=E258,C258+1,1)</f>
        <v>3</v>
      </c>
      <c r="D259" s="85">
        <f>IF(K259=K258,D258,C259)</f>
        <v>3</v>
      </c>
      <c r="E259" s="85">
        <f>10+VALUE(RIGHT(LEFT(G259,3),1))</f>
        <v>17</v>
      </c>
      <c r="F259" s="85" t="str">
        <f>RIGHT(G259,2) &amp; IF(A259&lt;2,"x","")</f>
        <v>pm</v>
      </c>
      <c r="G259" s="85" t="s">
        <v>398</v>
      </c>
      <c r="H259" s="85" t="s">
        <v>177</v>
      </c>
      <c r="I259" s="85" t="s">
        <v>399</v>
      </c>
      <c r="K259" s="86">
        <f>LOOKUP(1E+100,M259:AB259)</f>
        <v>2846.1776986685436</v>
      </c>
      <c r="M259" s="86">
        <v>2800</v>
      </c>
      <c r="P259" s="85">
        <v>2844.0129082224389</v>
      </c>
      <c r="Q259" s="85">
        <v>2846.1776986685436</v>
      </c>
    </row>
    <row r="260" spans="1:18" x14ac:dyDescent="0.3">
      <c r="A260" s="85">
        <v>2</v>
      </c>
      <c r="C260" s="85">
        <f>IF(E260=E259,C259+1,1)</f>
        <v>4</v>
      </c>
      <c r="D260" s="85">
        <f>IF(K260=K259,D259,C260)</f>
        <v>4</v>
      </c>
      <c r="E260" s="85">
        <f>10+VALUE(RIGHT(LEFT(G260,3),1))</f>
        <v>17</v>
      </c>
      <c r="F260" s="85" t="str">
        <f>RIGHT(G260,2) &amp; IF(A260&lt;2,"x","")</f>
        <v>pm</v>
      </c>
      <c r="G260" s="85" t="s">
        <v>400</v>
      </c>
      <c r="H260" s="85" t="s">
        <v>186</v>
      </c>
      <c r="I260" s="85" t="s">
        <v>970</v>
      </c>
      <c r="K260" s="86">
        <f>LOOKUP(1E+100,M260:AB260)</f>
        <v>2800</v>
      </c>
      <c r="M260" s="86">
        <v>2800</v>
      </c>
    </row>
    <row r="261" spans="1:18" x14ac:dyDescent="0.3">
      <c r="A261" s="85">
        <v>3</v>
      </c>
      <c r="C261" s="85">
        <f>IF(E261=E260,C260+1,1)</f>
        <v>5</v>
      </c>
      <c r="D261" s="85">
        <f>IF(K261=K260,D260,C261)</f>
        <v>4</v>
      </c>
      <c r="E261" s="85">
        <f>10+VALUE(RIGHT(LEFT(G261,3),1))</f>
        <v>17</v>
      </c>
      <c r="F261" s="85" t="str">
        <f>RIGHT(G261,2) &amp; IF(A261&lt;2,"x","")</f>
        <v>pm</v>
      </c>
      <c r="G261" s="85" t="s">
        <v>961</v>
      </c>
      <c r="H261" s="85" t="s">
        <v>502</v>
      </c>
      <c r="I261" s="85" t="s">
        <v>962</v>
      </c>
      <c r="K261" s="86">
        <f>LOOKUP(1E+100,M261:AB261)</f>
        <v>2800</v>
      </c>
      <c r="M261" s="86">
        <v>2800</v>
      </c>
    </row>
    <row r="262" spans="1:18" x14ac:dyDescent="0.3">
      <c r="A262" s="85">
        <v>5</v>
      </c>
      <c r="C262" s="85">
        <f>IF(E262=E261,C261+1,1)</f>
        <v>6</v>
      </c>
      <c r="D262" s="85">
        <f>IF(K262=K261,D261,C262)</f>
        <v>6</v>
      </c>
      <c r="E262" s="85">
        <f>10+VALUE(RIGHT(LEFT(G262,3),1))</f>
        <v>17</v>
      </c>
      <c r="F262" s="85" t="str">
        <f>RIGHT(G262,2) &amp; IF(A262&lt;2,"x","")</f>
        <v>pm</v>
      </c>
      <c r="G262" s="85" t="s">
        <v>954</v>
      </c>
      <c r="H262" s="85" t="s">
        <v>186</v>
      </c>
      <c r="I262" s="85" t="s">
        <v>955</v>
      </c>
      <c r="K262" s="86">
        <f>LOOKUP(1E+100,M262:AB262)</f>
        <v>2767.0478498875204</v>
      </c>
      <c r="M262" s="86">
        <v>2800</v>
      </c>
      <c r="O262" s="85">
        <v>2742.4478838984464</v>
      </c>
      <c r="Q262" s="85">
        <v>2767.0478498875204</v>
      </c>
    </row>
    <row r="263" spans="1:18" x14ac:dyDescent="0.3">
      <c r="A263" s="85">
        <v>5</v>
      </c>
      <c r="C263" s="85">
        <f>IF(E263=E262,C262+1,1)</f>
        <v>7</v>
      </c>
      <c r="D263" s="85">
        <f>IF(K263=K262,D262,C263)</f>
        <v>7</v>
      </c>
      <c r="E263" s="85">
        <f>10+VALUE(RIGHT(LEFT(G263,3),1))</f>
        <v>17</v>
      </c>
      <c r="F263" s="85" t="str">
        <f>RIGHT(G263,2) &amp; IF(A263&lt;2,"x","")</f>
        <v>pm</v>
      </c>
      <c r="G263" s="85" t="s">
        <v>403</v>
      </c>
      <c r="H263" s="85" t="s">
        <v>167</v>
      </c>
      <c r="I263" s="85" t="s">
        <v>960</v>
      </c>
      <c r="K263" s="86">
        <f>LOOKUP(1E+100,M263:AB263)</f>
        <v>2740.3722874626756</v>
      </c>
      <c r="M263" s="86">
        <v>2800</v>
      </c>
      <c r="O263" s="85">
        <v>2776.2225468947754</v>
      </c>
      <c r="Q263" s="85">
        <v>2740.3722874626756</v>
      </c>
    </row>
    <row r="264" spans="1:18" x14ac:dyDescent="0.3">
      <c r="A264" s="85">
        <v>4</v>
      </c>
      <c r="C264" s="85">
        <f>IF(E264=E263,C263+1,1)</f>
        <v>8</v>
      </c>
      <c r="D264" s="85">
        <f>IF(K264=K263,D263,C264)</f>
        <v>8</v>
      </c>
      <c r="E264" s="85">
        <f>10+VALUE(RIGHT(LEFT(G264,3),1))</f>
        <v>17</v>
      </c>
      <c r="F264" s="85" t="str">
        <f>RIGHT(G264,2) &amp; IF(A264&lt;2,"x","")</f>
        <v>pm</v>
      </c>
      <c r="G264" s="85" t="s">
        <v>950</v>
      </c>
      <c r="H264" s="85" t="s">
        <v>144</v>
      </c>
      <c r="I264" s="85" t="s">
        <v>951</v>
      </c>
      <c r="K264" s="86">
        <f>LOOKUP(1E+100,M264:AB264)</f>
        <v>2728.6666577006049</v>
      </c>
      <c r="M264" s="86">
        <v>2800</v>
      </c>
      <c r="P264" s="85">
        <v>2728.6666577006049</v>
      </c>
    </row>
    <row r="265" spans="1:18" x14ac:dyDescent="0.3">
      <c r="A265" s="85">
        <v>2</v>
      </c>
      <c r="C265" s="85">
        <f>IF(E265=E264,C264+1,1)</f>
        <v>9</v>
      </c>
      <c r="D265" s="85">
        <f>IF(K265=K264,D264,C265)</f>
        <v>9</v>
      </c>
      <c r="E265" s="85">
        <f>10+VALUE(RIGHT(LEFT(G265,3),1))</f>
        <v>17</v>
      </c>
      <c r="F265" s="85" t="str">
        <f>RIGHT(G265,2) &amp; IF(A265&lt;2,"x","")</f>
        <v>pm</v>
      </c>
      <c r="G265" s="85" t="s">
        <v>956</v>
      </c>
      <c r="H265" s="85" t="s">
        <v>760</v>
      </c>
      <c r="I265" s="85" t="s">
        <v>957</v>
      </c>
      <c r="K265" s="86">
        <f>LOOKUP(1E+100,M265:AB265)</f>
        <v>2728.0482900884726</v>
      </c>
      <c r="M265" s="86">
        <v>2800</v>
      </c>
      <c r="Q265" s="85">
        <v>2728.0482900884726</v>
      </c>
    </row>
    <row r="266" spans="1:18" x14ac:dyDescent="0.3">
      <c r="A266" s="85">
        <v>7</v>
      </c>
      <c r="C266" s="85">
        <f>IF(E266=E265,C265+1,1)</f>
        <v>10</v>
      </c>
      <c r="D266" s="85">
        <f>IF(K266=K265,D265,C266)</f>
        <v>10</v>
      </c>
      <c r="E266" s="85">
        <f>10+VALUE(RIGHT(LEFT(G266,3),1))</f>
        <v>17</v>
      </c>
      <c r="F266" s="85" t="str">
        <f>RIGHT(G266,2) &amp; IF(A266&lt;2,"x","")</f>
        <v>pm</v>
      </c>
      <c r="G266" s="85" t="s">
        <v>952</v>
      </c>
      <c r="H266" s="85" t="s">
        <v>342</v>
      </c>
      <c r="I266" s="85" t="s">
        <v>953</v>
      </c>
      <c r="K266" s="86">
        <f>LOOKUP(1E+100,M266:AB266)</f>
        <v>2661.4968161956031</v>
      </c>
      <c r="M266" s="86">
        <v>2800</v>
      </c>
      <c r="O266" s="85">
        <v>2749.346112386957</v>
      </c>
      <c r="P266" s="85">
        <v>2714.9188943519134</v>
      </c>
      <c r="Q266" s="85">
        <v>2661.4968161956031</v>
      </c>
    </row>
    <row r="267" spans="1:18" x14ac:dyDescent="0.3">
      <c r="A267" s="85">
        <v>2</v>
      </c>
      <c r="C267" s="85">
        <f>IF(E267=E266,C266+1,1)</f>
        <v>11</v>
      </c>
      <c r="D267" s="85">
        <f>IF(K267=K266,D266,C267)</f>
        <v>11</v>
      </c>
      <c r="E267" s="85">
        <f>10+VALUE(RIGHT(LEFT(G267,3),1))</f>
        <v>17</v>
      </c>
      <c r="F267" s="85" t="str">
        <f>RIGHT(G267,2) &amp; IF(A267&lt;2,"x","")</f>
        <v>pm</v>
      </c>
      <c r="G267" s="85" t="s">
        <v>405</v>
      </c>
      <c r="H267" s="85" t="s">
        <v>277</v>
      </c>
      <c r="I267" s="85" t="s">
        <v>406</v>
      </c>
      <c r="K267" s="86">
        <f>LOOKUP(1E+100,M267:AB267)</f>
        <v>2649.6936331387928</v>
      </c>
      <c r="M267" s="86">
        <v>2600</v>
      </c>
      <c r="N267" s="85">
        <v>2649.6936331387928</v>
      </c>
    </row>
    <row r="268" spans="1:18" x14ac:dyDescent="0.3">
      <c r="A268" s="85">
        <v>6</v>
      </c>
      <c r="C268" s="85">
        <f>IF(E268=E267,C267+1,1)</f>
        <v>12</v>
      </c>
      <c r="D268" s="85">
        <f>IF(K268=K267,D267,C268)</f>
        <v>12</v>
      </c>
      <c r="E268" s="85">
        <f>10+VALUE(RIGHT(LEFT(G268,3),1))</f>
        <v>17</v>
      </c>
      <c r="F268" s="85" t="str">
        <f>RIGHT(G268,2) &amp; IF(A268&lt;2,"x","")</f>
        <v>pm</v>
      </c>
      <c r="G268" s="85" t="s">
        <v>407</v>
      </c>
      <c r="H268" s="85" t="s">
        <v>308</v>
      </c>
      <c r="I268" s="85" t="s">
        <v>408</v>
      </c>
      <c r="K268" s="86">
        <f>LOOKUP(1E+100,M268:AB268)</f>
        <v>2603.5447609677722</v>
      </c>
      <c r="M268" s="86">
        <v>2600</v>
      </c>
      <c r="P268" s="85">
        <v>2603.5447609677722</v>
      </c>
    </row>
    <row r="269" spans="1:18" x14ac:dyDescent="0.3">
      <c r="A269" s="85">
        <v>2</v>
      </c>
      <c r="C269" s="85">
        <f>IF(E269=E268,C268+1,1)</f>
        <v>13</v>
      </c>
      <c r="D269" s="85">
        <f>IF(K269=K268,D268,C269)</f>
        <v>13</v>
      </c>
      <c r="E269" s="85">
        <f>10+VALUE(RIGHT(LEFT(G269,3),1))</f>
        <v>17</v>
      </c>
      <c r="F269" s="85" t="str">
        <f>RIGHT(G269,2) &amp; IF(A269&lt;2,"x","")</f>
        <v>pm</v>
      </c>
      <c r="G269" s="85" t="s">
        <v>404</v>
      </c>
      <c r="H269" s="85" t="s">
        <v>159</v>
      </c>
      <c r="I269" s="85" t="s">
        <v>973</v>
      </c>
      <c r="K269" s="86">
        <f>LOOKUP(1E+100,M269:AB269)</f>
        <v>2600</v>
      </c>
      <c r="M269" s="86">
        <v>2600</v>
      </c>
    </row>
    <row r="270" spans="1:18" x14ac:dyDescent="0.3">
      <c r="A270" s="85">
        <v>3</v>
      </c>
      <c r="C270" s="85">
        <f>IF(E270=E269,C269+1,1)</f>
        <v>14</v>
      </c>
      <c r="D270" s="85">
        <f>IF(K270=K269,D269,C270)</f>
        <v>14</v>
      </c>
      <c r="E270" s="85">
        <f>10+VALUE(RIGHT(LEFT(G270,3),1))</f>
        <v>17</v>
      </c>
      <c r="F270" s="85" t="str">
        <f>RIGHT(G270,2) &amp; IF(A270&lt;2,"x","")</f>
        <v>pm</v>
      </c>
      <c r="G270" s="85" t="s">
        <v>976</v>
      </c>
      <c r="H270" s="85" t="s">
        <v>679</v>
      </c>
      <c r="I270" s="85" t="s">
        <v>977</v>
      </c>
      <c r="K270" s="86">
        <f>LOOKUP(1E+100,M270:AB270)</f>
        <v>2580.1320661181762</v>
      </c>
      <c r="M270" s="86">
        <v>2533.3333333333335</v>
      </c>
      <c r="Q270" s="85">
        <v>2580.1320661181762</v>
      </c>
    </row>
    <row r="271" spans="1:18" x14ac:dyDescent="0.3">
      <c r="A271" s="85">
        <v>6</v>
      </c>
      <c r="C271" s="85">
        <f>IF(E271=E270,C270+1,1)</f>
        <v>15</v>
      </c>
      <c r="D271" s="85">
        <f>IF(K271=K270,D270,C271)</f>
        <v>15</v>
      </c>
      <c r="E271" s="85">
        <f>10+VALUE(RIGHT(LEFT(G271,3),1))</f>
        <v>17</v>
      </c>
      <c r="F271" s="85" t="str">
        <f>RIGHT(G271,2) &amp; IF(A271&lt;2,"x","")</f>
        <v>pm</v>
      </c>
      <c r="G271" s="85" t="s">
        <v>978</v>
      </c>
      <c r="H271" s="85" t="s">
        <v>549</v>
      </c>
      <c r="I271" s="85" t="s">
        <v>979</v>
      </c>
      <c r="K271" s="86">
        <f>LOOKUP(1E+100,M271:AB271)</f>
        <v>2491.6842530997037</v>
      </c>
      <c r="M271" s="86">
        <v>2466.6666666666665</v>
      </c>
      <c r="N271" s="85">
        <v>2433.3004749481729</v>
      </c>
      <c r="P271" s="85">
        <v>2500.4482807265576</v>
      </c>
      <c r="R271" s="85">
        <v>2491.6842530997037</v>
      </c>
    </row>
    <row r="272" spans="1:18" x14ac:dyDescent="0.3">
      <c r="A272" s="85">
        <v>2</v>
      </c>
      <c r="C272" s="85">
        <f>IF(E272=E271,C271+1,1)</f>
        <v>16</v>
      </c>
      <c r="D272" s="85">
        <f>IF(K272=K271,D271,C272)</f>
        <v>16</v>
      </c>
      <c r="E272" s="85">
        <f>10+VALUE(RIGHT(LEFT(G272,3),1))</f>
        <v>17</v>
      </c>
      <c r="F272" s="85" t="str">
        <f>RIGHT(G272,2) &amp; IF(A272&lt;2,"x","")</f>
        <v>pm</v>
      </c>
      <c r="G272" s="85" t="s">
        <v>982</v>
      </c>
      <c r="H272" s="85" t="s">
        <v>519</v>
      </c>
      <c r="I272" s="85" t="s">
        <v>983</v>
      </c>
      <c r="K272" s="86">
        <f>LOOKUP(1E+100,M272:AB272)</f>
        <v>2453.5852950581061</v>
      </c>
      <c r="M272" s="86">
        <v>2400</v>
      </c>
      <c r="N272" s="85">
        <v>2443.9246853858785</v>
      </c>
      <c r="R272" s="85">
        <v>2453.5852950581061</v>
      </c>
    </row>
    <row r="273" spans="1:18" x14ac:dyDescent="0.3">
      <c r="A273" s="85">
        <v>2</v>
      </c>
      <c r="C273" s="85">
        <f>IF(E273=E272,C272+1,1)</f>
        <v>17</v>
      </c>
      <c r="D273" s="85">
        <f>IF(K273=K272,D272,C273)</f>
        <v>17</v>
      </c>
      <c r="E273" s="85">
        <f>10+VALUE(RIGHT(LEFT(G273,3),1))</f>
        <v>17</v>
      </c>
      <c r="F273" s="85" t="str">
        <f>RIGHT(G273,2) &amp; IF(A273&lt;2,"x","")</f>
        <v>pm</v>
      </c>
      <c r="G273" s="85" t="s">
        <v>986</v>
      </c>
      <c r="H273" s="85" t="s">
        <v>235</v>
      </c>
      <c r="I273" s="85" t="s">
        <v>987</v>
      </c>
      <c r="K273" s="86">
        <f>LOOKUP(1E+100,M273:AB273)</f>
        <v>2400</v>
      </c>
      <c r="M273" s="86">
        <v>2400</v>
      </c>
    </row>
    <row r="274" spans="1:18" x14ac:dyDescent="0.3">
      <c r="A274" s="85">
        <v>6</v>
      </c>
      <c r="C274" s="85">
        <f>IF(E274=E273,C273+1,1)</f>
        <v>18</v>
      </c>
      <c r="D274" s="85">
        <f>IF(K274=K273,D273,C274)</f>
        <v>18</v>
      </c>
      <c r="E274" s="85">
        <f>10+VALUE(RIGHT(LEFT(G274,3),1))</f>
        <v>17</v>
      </c>
      <c r="F274" s="85" t="str">
        <f>RIGHT(G274,2) &amp; IF(A274&lt;2,"x","")</f>
        <v>pm</v>
      </c>
      <c r="G274" s="85" t="s">
        <v>411</v>
      </c>
      <c r="H274" s="85" t="s">
        <v>167</v>
      </c>
      <c r="I274" s="85" t="s">
        <v>412</v>
      </c>
      <c r="K274" s="86">
        <f>LOOKUP(1E+100,M274:AB274)</f>
        <v>2378.9033097063116</v>
      </c>
      <c r="M274" s="86">
        <v>2400</v>
      </c>
      <c r="P274" s="85">
        <v>2442.0548160773888</v>
      </c>
      <c r="R274" s="85">
        <v>2378.9033097063116</v>
      </c>
    </row>
    <row r="275" spans="1:18" x14ac:dyDescent="0.3">
      <c r="A275" s="85">
        <v>4</v>
      </c>
      <c r="C275" s="85">
        <f>IF(E275=E274,C274+1,1)</f>
        <v>19</v>
      </c>
      <c r="D275" s="85">
        <f>IF(K275=K274,D274,C275)</f>
        <v>19</v>
      </c>
      <c r="E275" s="85">
        <f>10+VALUE(RIGHT(LEFT(G275,3),1))</f>
        <v>17</v>
      </c>
      <c r="F275" s="85" t="str">
        <f>RIGHT(G275,2) &amp; IF(A275&lt;2,"x","")</f>
        <v>pm</v>
      </c>
      <c r="G275" s="85" t="s">
        <v>409</v>
      </c>
      <c r="H275" s="85" t="s">
        <v>182</v>
      </c>
      <c r="I275" s="85" t="s">
        <v>410</v>
      </c>
      <c r="K275" s="86">
        <f>LOOKUP(1E+100,M275:AB275)</f>
        <v>2341.6884744426316</v>
      </c>
      <c r="M275" s="86">
        <v>2400</v>
      </c>
      <c r="N275" s="85">
        <v>2346.5420003592371</v>
      </c>
      <c r="R275" s="85">
        <v>2341.6884744426316</v>
      </c>
    </row>
    <row r="276" spans="1:18" x14ac:dyDescent="0.3">
      <c r="A276" s="85">
        <v>4</v>
      </c>
      <c r="C276" s="85">
        <f>IF(E276=E311,C311+1,1)</f>
        <v>1</v>
      </c>
      <c r="D276" s="85">
        <f>IF(K276=K311,D311,C276)</f>
        <v>1</v>
      </c>
      <c r="E276" s="85">
        <f>10+VALUE(RIGHT(LEFT(G276,3),1))</f>
        <v>17</v>
      </c>
      <c r="F276" s="85" t="str">
        <f>RIGHT(G276,2) &amp; IF(A276&lt;2,"x","")</f>
        <v>pm</v>
      </c>
      <c r="G276" s="85" t="s">
        <v>980</v>
      </c>
      <c r="H276" s="85" t="s">
        <v>339</v>
      </c>
      <c r="I276" s="85" t="s">
        <v>981</v>
      </c>
      <c r="K276" s="86">
        <f>LOOKUP(1E+100,M276:AB276)</f>
        <v>2323.6703423752951</v>
      </c>
      <c r="M276" s="86">
        <v>2400</v>
      </c>
      <c r="N276" s="85">
        <v>2323.6703423752951</v>
      </c>
    </row>
    <row r="277" spans="1:18" x14ac:dyDescent="0.3">
      <c r="A277" s="85">
        <v>6</v>
      </c>
      <c r="C277" s="85">
        <f>IF(E277=E276,C276+1,1)</f>
        <v>2</v>
      </c>
      <c r="D277" s="85">
        <f>IF(K277=K276,D276,C277)</f>
        <v>2</v>
      </c>
      <c r="E277" s="85">
        <f>10+VALUE(RIGHT(LEFT(G277,3),1))</f>
        <v>17</v>
      </c>
      <c r="F277" s="85" t="str">
        <f>RIGHT(G277,2) &amp; IF(A277&lt;2,"x","")</f>
        <v>pm</v>
      </c>
      <c r="G277" s="85" t="s">
        <v>984</v>
      </c>
      <c r="H277" s="85" t="s">
        <v>186</v>
      </c>
      <c r="I277" s="85" t="s">
        <v>985</v>
      </c>
      <c r="K277" s="86">
        <f>LOOKUP(1E+100,M277:AB277)</f>
        <v>2271.5086478264498</v>
      </c>
      <c r="M277" s="86">
        <v>2400</v>
      </c>
      <c r="P277" s="85">
        <v>2355.1523846005416</v>
      </c>
      <c r="R277" s="85">
        <v>2271.5086478264498</v>
      </c>
    </row>
    <row r="278" spans="1:18" x14ac:dyDescent="0.3">
      <c r="A278" s="85">
        <v>2</v>
      </c>
      <c r="C278" s="85">
        <f>IF(E278=E277,C277+1,1)</f>
        <v>1</v>
      </c>
      <c r="D278" s="85">
        <f>IF(K278=K277,D277,C278)</f>
        <v>1</v>
      </c>
      <c r="E278" s="85">
        <f>10+VALUE(RIGHT(LEFT(G278,3),1))</f>
        <v>18</v>
      </c>
      <c r="F278" s="85" t="str">
        <f>RIGHT(G278,2) &amp; IF(A278&lt;2,"x","")</f>
        <v>pm</v>
      </c>
      <c r="G278" s="85" t="s">
        <v>1008</v>
      </c>
      <c r="H278" s="85" t="s">
        <v>497</v>
      </c>
      <c r="I278" s="85" t="s">
        <v>1009</v>
      </c>
      <c r="K278" s="86">
        <f>LOOKUP(1E+100,M278:AB278)</f>
        <v>3158.3181890651545</v>
      </c>
      <c r="M278" s="86">
        <v>3000</v>
      </c>
      <c r="P278" s="85">
        <v>3115.0197027601071</v>
      </c>
      <c r="Q278" s="85">
        <v>3158.3181890651545</v>
      </c>
    </row>
    <row r="279" spans="1:18" x14ac:dyDescent="0.3">
      <c r="A279" s="85">
        <v>2</v>
      </c>
      <c r="C279" s="85">
        <f>IF(E279=E278,C278+1,1)</f>
        <v>2</v>
      </c>
      <c r="D279" s="85">
        <f>IF(K279=K278,D278,C279)</f>
        <v>2</v>
      </c>
      <c r="E279" s="85">
        <f>10+VALUE(RIGHT(LEFT(G279,3),1))</f>
        <v>18</v>
      </c>
      <c r="F279" s="85" t="str">
        <f>RIGHT(G279,2) &amp; IF(A279&lt;2,"x","")</f>
        <v>pm</v>
      </c>
      <c r="G279" s="85" t="s">
        <v>422</v>
      </c>
      <c r="H279" s="85" t="s">
        <v>167</v>
      </c>
      <c r="I279" s="85" t="s">
        <v>1014</v>
      </c>
      <c r="K279" s="86">
        <f>LOOKUP(1E+100,M279:AB279)</f>
        <v>3098.6221168851657</v>
      </c>
      <c r="M279" s="86">
        <v>3000</v>
      </c>
      <c r="Q279" s="85">
        <v>3098.6221168851657</v>
      </c>
    </row>
    <row r="280" spans="1:18" x14ac:dyDescent="0.3">
      <c r="A280" s="85">
        <v>7</v>
      </c>
      <c r="C280" s="85">
        <f>IF(E280=E279,C279+1,1)</f>
        <v>3</v>
      </c>
      <c r="D280" s="85">
        <f>IF(K280=K279,D279,C280)</f>
        <v>3</v>
      </c>
      <c r="E280" s="85">
        <f>10+VALUE(RIGHT(LEFT(G280,3),1))</f>
        <v>18</v>
      </c>
      <c r="F280" s="85" t="str">
        <f>RIGHT(G280,2) &amp; IF(A280&lt;2,"x","")</f>
        <v>pm</v>
      </c>
      <c r="G280" s="85" t="s">
        <v>417</v>
      </c>
      <c r="H280" s="85" t="s">
        <v>153</v>
      </c>
      <c r="I280" s="85" t="s">
        <v>1002</v>
      </c>
      <c r="K280" s="86">
        <f>LOOKUP(1E+100,M280:AB280)</f>
        <v>3057.8410454728637</v>
      </c>
      <c r="M280" s="86">
        <v>3000</v>
      </c>
      <c r="O280" s="85">
        <v>3041.9807671510221</v>
      </c>
      <c r="P280" s="85">
        <v>3057.8410454728637</v>
      </c>
    </row>
    <row r="281" spans="1:18" x14ac:dyDescent="0.3">
      <c r="A281" s="85">
        <v>3</v>
      </c>
      <c r="C281" s="85">
        <f>IF(E281=E280,C280+1,1)</f>
        <v>4</v>
      </c>
      <c r="D281" s="85">
        <f>IF(K281=K280,D280,C281)</f>
        <v>4</v>
      </c>
      <c r="E281" s="85">
        <f>10+VALUE(RIGHT(LEFT(G281,3),1))</f>
        <v>18</v>
      </c>
      <c r="F281" s="85" t="str">
        <f>RIGHT(G281,2) &amp; IF(A281&lt;2,"x","")</f>
        <v>pm</v>
      </c>
      <c r="G281" s="85" t="s">
        <v>415</v>
      </c>
      <c r="H281" s="85" t="s">
        <v>144</v>
      </c>
      <c r="I281" s="85" t="s">
        <v>1001</v>
      </c>
      <c r="K281" s="86">
        <f>LOOKUP(1E+100,M281:AB281)</f>
        <v>3052.4034884576249</v>
      </c>
      <c r="M281" s="86">
        <v>3000</v>
      </c>
      <c r="P281" s="85">
        <v>3052.4034884576249</v>
      </c>
    </row>
    <row r="282" spans="1:18" x14ac:dyDescent="0.3">
      <c r="A282" s="85">
        <v>2</v>
      </c>
      <c r="C282" s="85">
        <f>IF(E282=E281,C281+1,1)</f>
        <v>5</v>
      </c>
      <c r="D282" s="85">
        <f>IF(K282=K281,D281,C282)</f>
        <v>5</v>
      </c>
      <c r="E282" s="85">
        <f>10+VALUE(RIGHT(LEFT(G282,3),1))</f>
        <v>18</v>
      </c>
      <c r="F282" s="85" t="str">
        <f>RIGHT(G282,2) &amp; IF(A282&lt;2,"x","")</f>
        <v>pm</v>
      </c>
      <c r="G282" s="85" t="s">
        <v>421</v>
      </c>
      <c r="H282" s="85" t="s">
        <v>331</v>
      </c>
      <c r="I282" s="85" t="s">
        <v>1016</v>
      </c>
      <c r="K282" s="86">
        <f>LOOKUP(1E+100,M282:AB282)</f>
        <v>3049.1452363505205</v>
      </c>
      <c r="M282" s="86">
        <v>3000</v>
      </c>
      <c r="P282" s="85">
        <v>3049.1452363505205</v>
      </c>
    </row>
    <row r="283" spans="1:18" x14ac:dyDescent="0.3">
      <c r="A283" s="85">
        <v>3</v>
      </c>
      <c r="C283" s="85">
        <f>IF(E283=E282,C282+1,1)</f>
        <v>6</v>
      </c>
      <c r="D283" s="85">
        <f>IF(K283=K282,D282,C283)</f>
        <v>6</v>
      </c>
      <c r="E283" s="85">
        <f>10+VALUE(RIGHT(LEFT(G283,3),1))</f>
        <v>18</v>
      </c>
      <c r="F283" s="85" t="str">
        <f>RIGHT(G283,2) &amp; IF(A283&lt;2,"x","")</f>
        <v>pm</v>
      </c>
      <c r="G283" s="85" t="s">
        <v>1012</v>
      </c>
      <c r="H283" s="85" t="s">
        <v>534</v>
      </c>
      <c r="I283" s="85" t="s">
        <v>1013</v>
      </c>
      <c r="K283" s="86">
        <f>LOOKUP(1E+100,M283:AB283)</f>
        <v>3040.8270732538958</v>
      </c>
      <c r="M283" s="86">
        <v>3000</v>
      </c>
      <c r="O283" s="85">
        <v>3053.6663858700913</v>
      </c>
      <c r="Q283" s="85">
        <v>3040.8270732538958</v>
      </c>
    </row>
    <row r="284" spans="1:18" x14ac:dyDescent="0.3">
      <c r="A284" s="85">
        <v>5</v>
      </c>
      <c r="C284" s="85">
        <f>IF(E284=E283,C283+1,1)</f>
        <v>7</v>
      </c>
      <c r="D284" s="85">
        <f>IF(K284=K283,D283,C284)</f>
        <v>7</v>
      </c>
      <c r="E284" s="85">
        <f>10+VALUE(RIGHT(LEFT(G284,3),1))</f>
        <v>18</v>
      </c>
      <c r="F284" s="85" t="str">
        <f>RIGHT(G284,2) &amp; IF(A284&lt;2,"x","")</f>
        <v>pm</v>
      </c>
      <c r="G284" s="85" t="s">
        <v>426</v>
      </c>
      <c r="H284" s="85" t="s">
        <v>242</v>
      </c>
      <c r="I284" s="85" t="s">
        <v>1015</v>
      </c>
      <c r="K284" s="86">
        <f>LOOKUP(1E+100,M284:AB284)</f>
        <v>3012.2022182610085</v>
      </c>
      <c r="M284" s="86">
        <v>3000</v>
      </c>
      <c r="P284" s="85">
        <v>3012.2022182610085</v>
      </c>
    </row>
    <row r="285" spans="1:18" x14ac:dyDescent="0.3">
      <c r="A285" s="85">
        <v>5</v>
      </c>
      <c r="C285" s="85">
        <f>IF(E285=E284,C284+1,1)</f>
        <v>8</v>
      </c>
      <c r="D285" s="85">
        <f>IF(K285=K284,D284,C285)</f>
        <v>8</v>
      </c>
      <c r="E285" s="85">
        <f>10+VALUE(RIGHT(LEFT(G285,3),1))</f>
        <v>18</v>
      </c>
      <c r="F285" s="85" t="str">
        <f>RIGHT(G285,2) &amp; IF(A285&lt;2,"x","")</f>
        <v>pm</v>
      </c>
      <c r="G285" s="85" t="s">
        <v>1006</v>
      </c>
      <c r="H285" s="85" t="s">
        <v>236</v>
      </c>
      <c r="I285" s="85" t="s">
        <v>1007</v>
      </c>
      <c r="K285" s="86">
        <f>LOOKUP(1E+100,M285:AB285)</f>
        <v>2995.9428308489555</v>
      </c>
      <c r="M285" s="86">
        <v>3000</v>
      </c>
      <c r="P285" s="85">
        <v>2995.9428308489555</v>
      </c>
    </row>
    <row r="286" spans="1:18" x14ac:dyDescent="0.3">
      <c r="A286" s="85">
        <v>3</v>
      </c>
      <c r="C286" s="85">
        <f>IF(E286=E285,C285+1,1)</f>
        <v>9</v>
      </c>
      <c r="D286" s="85">
        <f>IF(K286=K285,D285,C286)</f>
        <v>9</v>
      </c>
      <c r="E286" s="85">
        <f>10+VALUE(RIGHT(LEFT(G286,3),1))</f>
        <v>18</v>
      </c>
      <c r="F286" s="85" t="str">
        <f>RIGHT(G286,2) &amp; IF(A286&lt;2,"x","")</f>
        <v>pm</v>
      </c>
      <c r="G286" s="85" t="s">
        <v>998</v>
      </c>
      <c r="H286" s="85" t="s">
        <v>308</v>
      </c>
      <c r="I286" s="85" t="s">
        <v>999</v>
      </c>
      <c r="K286" s="86">
        <f>LOOKUP(1E+100,M286:AB286)</f>
        <v>2978.3300211488763</v>
      </c>
      <c r="M286" s="86">
        <v>3000</v>
      </c>
      <c r="Q286" s="85">
        <v>2978.3300211488763</v>
      </c>
    </row>
    <row r="287" spans="1:18" x14ac:dyDescent="0.3">
      <c r="A287" s="85">
        <v>2</v>
      </c>
      <c r="C287" s="85">
        <f>IF(E287=E286,C286+1,1)</f>
        <v>10</v>
      </c>
      <c r="D287" s="85">
        <f>IF(K287=K286,D286,C287)</f>
        <v>10</v>
      </c>
      <c r="E287" s="85">
        <f>10+VALUE(RIGHT(LEFT(G287,3),1))</f>
        <v>18</v>
      </c>
      <c r="F287" s="85" t="str">
        <f>RIGHT(G287,2) &amp; IF(A287&lt;2,"x","")</f>
        <v>pm</v>
      </c>
      <c r="G287" s="85" t="s">
        <v>418</v>
      </c>
      <c r="H287" s="85" t="s">
        <v>258</v>
      </c>
      <c r="I287" s="85" t="s">
        <v>1005</v>
      </c>
      <c r="K287" s="86">
        <f>LOOKUP(1E+100,M287:AB287)</f>
        <v>2940.4015103432962</v>
      </c>
      <c r="M287" s="86">
        <v>3000</v>
      </c>
      <c r="P287" s="85">
        <v>2940.4015103432962</v>
      </c>
    </row>
    <row r="288" spans="1:18" x14ac:dyDescent="0.3">
      <c r="A288" s="85">
        <v>2</v>
      </c>
      <c r="C288" s="85">
        <f>IF(E288=E287,C287+1,1)</f>
        <v>11</v>
      </c>
      <c r="D288" s="85">
        <f>IF(K288=K287,D287,C288)</f>
        <v>11</v>
      </c>
      <c r="E288" s="85">
        <f>10+VALUE(RIGHT(LEFT(G288,3),1))</f>
        <v>18</v>
      </c>
      <c r="F288" s="85" t="str">
        <f>RIGHT(G288,2) &amp; IF(A288&lt;2,"x","")</f>
        <v>pm</v>
      </c>
      <c r="G288" s="85" t="s">
        <v>1010</v>
      </c>
      <c r="H288" s="85" t="s">
        <v>497</v>
      </c>
      <c r="I288" s="85" t="s">
        <v>1011</v>
      </c>
      <c r="K288" s="86">
        <f>LOOKUP(1E+100,M288:AB288)</f>
        <v>2897.844275669926</v>
      </c>
      <c r="M288" s="86">
        <v>3000</v>
      </c>
      <c r="P288" s="85">
        <v>2895.3037348332809</v>
      </c>
      <c r="Q288" s="85">
        <v>2897.844275669926</v>
      </c>
    </row>
    <row r="289" spans="1:18" x14ac:dyDescent="0.3">
      <c r="A289" s="85">
        <v>7</v>
      </c>
      <c r="C289" s="85">
        <f>IF(E289=E288,C288+1,1)</f>
        <v>12</v>
      </c>
      <c r="D289" s="85">
        <f>IF(K289=K288,D288,C289)</f>
        <v>12</v>
      </c>
      <c r="E289" s="85">
        <f>10+VALUE(RIGHT(LEFT(G289,3),1))</f>
        <v>18</v>
      </c>
      <c r="F289" s="85" t="str">
        <f>RIGHT(G289,2) &amp; IF(A289&lt;2,"x","")</f>
        <v>pm</v>
      </c>
      <c r="G289" s="85" t="s">
        <v>1003</v>
      </c>
      <c r="H289" s="85" t="s">
        <v>153</v>
      </c>
      <c r="I289" s="85" t="s">
        <v>1004</v>
      </c>
      <c r="K289" s="86">
        <f>LOOKUP(1E+100,M289:AB289)</f>
        <v>2826.6418767257228</v>
      </c>
      <c r="M289" s="86">
        <v>3000</v>
      </c>
      <c r="O289" s="85">
        <v>2918.7916428536187</v>
      </c>
      <c r="P289" s="85">
        <v>2862.3746207039353</v>
      </c>
      <c r="Q289" s="85">
        <v>2826.6418767257228</v>
      </c>
    </row>
    <row r="290" spans="1:18" x14ac:dyDescent="0.3">
      <c r="A290" s="85">
        <v>2</v>
      </c>
      <c r="C290" s="85">
        <f>IF(E290=E289,C289+1,1)</f>
        <v>13</v>
      </c>
      <c r="D290" s="85">
        <f>IF(K290=K289,D289,C290)</f>
        <v>13</v>
      </c>
      <c r="E290" s="85">
        <f>10+VALUE(RIGHT(LEFT(G290,3),1))</f>
        <v>18</v>
      </c>
      <c r="F290" s="85" t="str">
        <f>RIGHT(G290,2) &amp; IF(A290&lt;2,"x","")</f>
        <v>pm</v>
      </c>
      <c r="G290" s="85" t="s">
        <v>1034</v>
      </c>
      <c r="H290" s="85" t="s">
        <v>277</v>
      </c>
      <c r="I290" s="85" t="s">
        <v>1035</v>
      </c>
      <c r="K290" s="86">
        <f>LOOKUP(1E+100,M290:AB290)</f>
        <v>2784.3704638645931</v>
      </c>
      <c r="M290" s="86">
        <v>2800</v>
      </c>
      <c r="N290" s="85">
        <v>2784.3704638645931</v>
      </c>
    </row>
    <row r="291" spans="1:18" x14ac:dyDescent="0.3">
      <c r="A291" s="85">
        <v>6</v>
      </c>
      <c r="C291" s="85">
        <f>IF(E291=E290,C290+1,1)</f>
        <v>14</v>
      </c>
      <c r="D291" s="85">
        <f>IF(K291=K290,D290,C291)</f>
        <v>14</v>
      </c>
      <c r="E291" s="85">
        <f>10+VALUE(RIGHT(LEFT(G291,3),1))</f>
        <v>18</v>
      </c>
      <c r="F291" s="85" t="str">
        <f>RIGHT(G291,2) &amp; IF(A291&lt;2,"x","")</f>
        <v>pm</v>
      </c>
      <c r="G291" s="85" t="s">
        <v>423</v>
      </c>
      <c r="H291" s="85" t="s">
        <v>392</v>
      </c>
      <c r="I291" s="85" t="s">
        <v>1036</v>
      </c>
      <c r="K291" s="86">
        <f>LOOKUP(1E+100,M291:AB291)</f>
        <v>2565.3417525513787</v>
      </c>
      <c r="M291" s="86">
        <v>2600</v>
      </c>
      <c r="N291" s="85">
        <v>2598.4897616641106</v>
      </c>
      <c r="P291" s="85">
        <v>2560.6143683105338</v>
      </c>
      <c r="R291" s="85">
        <v>2565.3417525513787</v>
      </c>
    </row>
    <row r="292" spans="1:18" x14ac:dyDescent="0.3">
      <c r="A292" s="85">
        <v>2</v>
      </c>
      <c r="C292" s="85">
        <f>IF(E292=E290,C290+1,1)</f>
        <v>14</v>
      </c>
      <c r="D292" s="85">
        <f>IF(K292=K290,D290,C292)</f>
        <v>14</v>
      </c>
      <c r="E292" s="85">
        <f>10+VALUE(RIGHT(LEFT(G292,3),1))</f>
        <v>18</v>
      </c>
      <c r="F292" s="85" t="str">
        <f>RIGHT(G292,2) &amp; IF(A292&lt;2,"x","")</f>
        <v>pm</v>
      </c>
      <c r="G292" s="85" t="s">
        <v>1039</v>
      </c>
      <c r="H292" s="85" t="s">
        <v>831</v>
      </c>
      <c r="I292" s="85" t="s">
        <v>1040</v>
      </c>
      <c r="K292" s="86">
        <f>LOOKUP(1E+100,M292:AB292)</f>
        <v>2532.7151788299739</v>
      </c>
      <c r="M292" s="86">
        <v>2600</v>
      </c>
      <c r="R292" s="85">
        <v>2532.7151788299739</v>
      </c>
    </row>
    <row r="293" spans="1:18" x14ac:dyDescent="0.3">
      <c r="A293" s="85">
        <v>7</v>
      </c>
      <c r="C293" s="85">
        <f>IF(E293=E292,C292+1,1)</f>
        <v>15</v>
      </c>
      <c r="D293" s="85">
        <f>IF(K293=K292,D292,C293)</f>
        <v>15</v>
      </c>
      <c r="E293" s="85">
        <f>10+VALUE(RIGHT(LEFT(G293,3),1))</f>
        <v>18</v>
      </c>
      <c r="F293" s="85" t="str">
        <f>RIGHT(G293,2) &amp; IF(A293&lt;2,"x","")</f>
        <v>pm</v>
      </c>
      <c r="G293" s="85" t="s">
        <v>424</v>
      </c>
      <c r="H293" s="85" t="s">
        <v>345</v>
      </c>
      <c r="I293" s="85" t="s">
        <v>425</v>
      </c>
      <c r="K293" s="86">
        <f>LOOKUP(1E+100,M293:AB293)</f>
        <v>2512.2703904137693</v>
      </c>
      <c r="M293" s="86">
        <v>2600</v>
      </c>
      <c r="N293" s="85">
        <v>2509.9742813075081</v>
      </c>
      <c r="P293" s="85">
        <v>2503.6831965637493</v>
      </c>
      <c r="R293" s="85">
        <v>2512.2703904137693</v>
      </c>
    </row>
    <row r="294" spans="1:18" x14ac:dyDescent="0.3">
      <c r="A294" s="85">
        <v>6</v>
      </c>
      <c r="C294" s="85">
        <f>IF(E294=E258,C258+1,1)</f>
        <v>1</v>
      </c>
      <c r="D294" s="85">
        <f>IF(K294=K258,D258,C294)</f>
        <v>1</v>
      </c>
      <c r="E294" s="85">
        <f>10+VALUE(RIGHT(LEFT(G294,3),1))</f>
        <v>18</v>
      </c>
      <c r="F294" s="85" t="str">
        <f>RIGHT(G294,2) &amp; IF(A294&lt;2,"x","")</f>
        <v>pm</v>
      </c>
      <c r="G294" s="299" t="s">
        <v>1037</v>
      </c>
      <c r="H294" s="85" t="s">
        <v>392</v>
      </c>
      <c r="I294" s="85" t="s">
        <v>1038</v>
      </c>
      <c r="K294" s="86">
        <f>LOOKUP(1E+100,M294:AB294)</f>
        <v>2475.8287326488262</v>
      </c>
      <c r="M294" s="86">
        <v>2600</v>
      </c>
      <c r="N294" s="85">
        <v>2513.8626072183683</v>
      </c>
      <c r="P294" s="85">
        <v>2514.0032889712584</v>
      </c>
      <c r="R294" s="85">
        <v>2475.8287326488262</v>
      </c>
    </row>
    <row r="295" spans="1:18" x14ac:dyDescent="0.3">
      <c r="A295" s="85">
        <v>2</v>
      </c>
      <c r="C295" s="85">
        <f>IF(E295=E294,C294+1,1)</f>
        <v>2</v>
      </c>
      <c r="D295" s="85">
        <f>IF(K295=K294,D294,C295)</f>
        <v>2</v>
      </c>
      <c r="E295" s="85">
        <f>10+VALUE(RIGHT(LEFT(G295,3),1))</f>
        <v>18</v>
      </c>
      <c r="F295" s="85" t="str">
        <f>RIGHT(G295,2) &amp; IF(A295&lt;2,"x","")</f>
        <v>pm</v>
      </c>
      <c r="G295" s="85" t="s">
        <v>1041</v>
      </c>
      <c r="H295" s="85" t="s">
        <v>242</v>
      </c>
      <c r="I295" s="85" t="s">
        <v>1042</v>
      </c>
      <c r="K295" s="86">
        <f>LOOKUP(1E+100,M295:AB295)</f>
        <v>2435.3480732002313</v>
      </c>
      <c r="M295" s="86">
        <v>2600</v>
      </c>
      <c r="P295" s="85">
        <v>2476.9796027233456</v>
      </c>
      <c r="R295" s="85">
        <v>2435.3480732002313</v>
      </c>
    </row>
    <row r="358" ht="16.2" customHeight="1" x14ac:dyDescent="0.3"/>
    <row r="417" spans="7:9" x14ac:dyDescent="0.3">
      <c r="G417" s="299"/>
      <c r="H417" s="299"/>
    </row>
    <row r="418" spans="7:9" x14ac:dyDescent="0.3">
      <c r="G418" s="301"/>
      <c r="H418" s="299"/>
      <c r="I418" s="301"/>
    </row>
    <row r="419" spans="7:9" x14ac:dyDescent="0.3">
      <c r="G419" s="301"/>
      <c r="H419" s="301"/>
      <c r="I419" s="301"/>
    </row>
    <row r="422" spans="7:9" x14ac:dyDescent="0.3">
      <c r="G422" s="301"/>
      <c r="H422" s="301"/>
      <c r="I422" s="301"/>
    </row>
    <row r="423" spans="7:9" x14ac:dyDescent="0.3">
      <c r="G423" s="301"/>
      <c r="H423" s="301"/>
      <c r="I423" s="301"/>
    </row>
    <row r="424" spans="7:9" x14ac:dyDescent="0.3">
      <c r="G424" s="301"/>
      <c r="H424" s="301"/>
      <c r="I424" s="301"/>
    </row>
  </sheetData>
  <sortState ref="A2:AI424">
    <sortCondition ref="E2:E999"/>
    <sortCondition descending="1" ref="K2:K999"/>
    <sortCondition ref="G2:G999"/>
  </sortState>
  <conditionalFormatting sqref="K411:K424">
    <cfRule type="expression" dxfId="580" priority="1">
      <formula>$E411=10</formula>
    </cfRule>
    <cfRule type="expression" dxfId="579" priority="2">
      <formula>$E411=11</formula>
    </cfRule>
    <cfRule type="expression" dxfId="578" priority="3">
      <formula>$E411=18</formula>
    </cfRule>
    <cfRule type="expression" dxfId="577" priority="4">
      <formula>$E411=17</formula>
    </cfRule>
    <cfRule type="expression" dxfId="576" priority="5">
      <formula>$E411=16</formula>
    </cfRule>
    <cfRule type="expression" dxfId="575" priority="6">
      <formula>$E411=15</formula>
    </cfRule>
    <cfRule type="expression" dxfId="574" priority="7">
      <formula>$E411=14</formula>
    </cfRule>
    <cfRule type="expression" dxfId="573" priority="8">
      <formula>$E411=13</formula>
    </cfRule>
    <cfRule type="expression" dxfId="572" priority="9">
      <formula>$E411=12</formula>
    </cfRule>
  </conditionalFormatting>
  <conditionalFormatting sqref="G1:I1">
    <cfRule type="containsText" dxfId="571" priority="519" operator="containsText" text="CSRA">
      <formula>NOT(ISERROR(SEARCH("CSRA",G1)))</formula>
    </cfRule>
  </conditionalFormatting>
  <conditionalFormatting sqref="AJ1:XFD403 A1:AG403 AJ407:XFD410 G407:I407 A409:AG410 G408:J408 N407:AG408 A425:AG1048576 AJ425:XFD1048576">
    <cfRule type="expression" dxfId="570" priority="574">
      <formula>$E1&lt;12</formula>
    </cfRule>
    <cfRule type="expression" dxfId="569" priority="575">
      <formula>$E1=18</formula>
    </cfRule>
    <cfRule type="expression" dxfId="568" priority="576">
      <formula>$E1=17</formula>
    </cfRule>
    <cfRule type="expression" dxfId="567" priority="577">
      <formula>$E1=16</formula>
    </cfRule>
    <cfRule type="expression" dxfId="566" priority="578">
      <formula>$E1=15</formula>
    </cfRule>
    <cfRule type="expression" dxfId="565" priority="579">
      <formula>$E1=14</formula>
    </cfRule>
    <cfRule type="expression" dxfId="564" priority="580">
      <formula>$E1=13</formula>
    </cfRule>
    <cfRule type="expression" dxfId="563" priority="581">
      <formula>$E1=12</formula>
    </cfRule>
  </conditionalFormatting>
  <conditionalFormatting sqref="AJ1:XFD403 A1:AG403 AJ407:XFD410 G407:I407 A409:AG410 G408:J408 N407:AG408 A425:AG1048576 AJ425:XFD1048576">
    <cfRule type="expression" dxfId="562" priority="565">
      <formula>$E1=10</formula>
    </cfRule>
    <cfRule type="expression" dxfId="561" priority="566">
      <formula>$E1=11</formula>
    </cfRule>
    <cfRule type="expression" dxfId="560" priority="567">
      <formula>$E1=18</formula>
    </cfRule>
    <cfRule type="expression" dxfId="559" priority="568">
      <formula>$E1=17</formula>
    </cfRule>
    <cfRule type="expression" dxfId="558" priority="569">
      <formula>$E1=16</formula>
    </cfRule>
    <cfRule type="expression" dxfId="557" priority="570">
      <formula>$E1=15</formula>
    </cfRule>
    <cfRule type="expression" dxfId="556" priority="571">
      <formula>$E1=14</formula>
    </cfRule>
    <cfRule type="expression" dxfId="555" priority="572">
      <formula>$E1=13</formula>
    </cfRule>
    <cfRule type="expression" dxfId="554" priority="573">
      <formula>$E1=12</formula>
    </cfRule>
  </conditionalFormatting>
  <conditionalFormatting sqref="N255:AG255 AJ255:XFD255">
    <cfRule type="expression" dxfId="553" priority="556">
      <formula>$E255=10</formula>
    </cfRule>
    <cfRule type="expression" dxfId="552" priority="557">
      <formula>$E255=11</formula>
    </cfRule>
    <cfRule type="expression" dxfId="551" priority="558">
      <formula>$E255=18</formula>
    </cfRule>
    <cfRule type="expression" dxfId="550" priority="559">
      <formula>$E255=17</formula>
    </cfRule>
    <cfRule type="expression" dxfId="549" priority="560">
      <formula>$E255=16</formula>
    </cfRule>
    <cfRule type="expression" dxfId="548" priority="561">
      <formula>$E255=15</formula>
    </cfRule>
    <cfRule type="expression" dxfId="547" priority="562">
      <formula>$E255=14</formula>
    </cfRule>
    <cfRule type="expression" dxfId="546" priority="563">
      <formula>$E255=13</formula>
    </cfRule>
    <cfRule type="expression" dxfId="545" priority="564">
      <formula>$E255=12</formula>
    </cfRule>
  </conditionalFormatting>
  <conditionalFormatting sqref="AJ265:XFD268 IW258:XFD263 N265:AG268">
    <cfRule type="expression" dxfId="544" priority="547">
      <formula>$E258=10</formula>
    </cfRule>
    <cfRule type="expression" dxfId="543" priority="548">
      <formula>$E258=11</formula>
    </cfRule>
    <cfRule type="expression" dxfId="542" priority="549">
      <formula>$E258=18</formula>
    </cfRule>
    <cfRule type="expression" dxfId="541" priority="550">
      <formula>$E258=17</formula>
    </cfRule>
    <cfRule type="expression" dxfId="540" priority="551">
      <formula>$E258=16</formula>
    </cfRule>
    <cfRule type="expression" dxfId="539" priority="552">
      <formula>$E258=15</formula>
    </cfRule>
    <cfRule type="expression" dxfId="538" priority="553">
      <formula>$E258=14</formula>
    </cfRule>
    <cfRule type="expression" dxfId="537" priority="554">
      <formula>$E258=13</formula>
    </cfRule>
    <cfRule type="expression" dxfId="536" priority="555">
      <formula>$E258=12</formula>
    </cfRule>
  </conditionalFormatting>
  <conditionalFormatting sqref="N261:AG263 AJ261:IV263">
    <cfRule type="expression" dxfId="535" priority="538">
      <formula>$E261=10</formula>
    </cfRule>
    <cfRule type="expression" dxfId="534" priority="539">
      <formula>$E261=11</formula>
    </cfRule>
    <cfRule type="expression" dxfId="533" priority="540">
      <formula>$E261=18</formula>
    </cfRule>
    <cfRule type="expression" dxfId="532" priority="541">
      <formula>$E261=17</formula>
    </cfRule>
    <cfRule type="expression" dxfId="531" priority="542">
      <formula>$E261=16</formula>
    </cfRule>
    <cfRule type="expression" dxfId="530" priority="543">
      <formula>$E261=15</formula>
    </cfRule>
    <cfRule type="expression" dxfId="529" priority="544">
      <formula>$E261=14</formula>
    </cfRule>
    <cfRule type="expression" dxfId="528" priority="545">
      <formula>$E261=13</formula>
    </cfRule>
    <cfRule type="expression" dxfId="527" priority="546">
      <formula>$E261=12</formula>
    </cfRule>
  </conditionalFormatting>
  <conditionalFormatting sqref="H261">
    <cfRule type="expression" dxfId="526" priority="483">
      <formula>$E261=10</formula>
    </cfRule>
    <cfRule type="expression" dxfId="525" priority="484">
      <formula>$E261=11</formula>
    </cfRule>
    <cfRule type="expression" dxfId="524" priority="485">
      <formula>$E261=18</formula>
    </cfRule>
    <cfRule type="expression" dxfId="523" priority="486">
      <formula>$E261=17</formula>
    </cfRule>
    <cfRule type="expression" dxfId="522" priority="487">
      <formula>$E261=16</formula>
    </cfRule>
    <cfRule type="expression" dxfId="521" priority="488">
      <formula>$E261=15</formula>
    </cfRule>
    <cfRule type="expression" dxfId="520" priority="489">
      <formula>$E261=14</formula>
    </cfRule>
    <cfRule type="expression" dxfId="519" priority="490">
      <formula>$E261=13</formula>
    </cfRule>
    <cfRule type="expression" dxfId="518" priority="491">
      <formula>$E261=12</formula>
    </cfRule>
  </conditionalFormatting>
  <conditionalFormatting sqref="N258:AG260 AJ258:IV260">
    <cfRule type="expression" dxfId="517" priority="529">
      <formula>$E258=10</formula>
    </cfRule>
    <cfRule type="expression" dxfId="516" priority="530">
      <formula>$E258=11</formula>
    </cfRule>
    <cfRule type="expression" dxfId="515" priority="531">
      <formula>$E258=18</formula>
    </cfRule>
    <cfRule type="expression" dxfId="514" priority="532">
      <formula>$E258=17</formula>
    </cfRule>
    <cfRule type="expression" dxfId="513" priority="533">
      <formula>$E258=16</formula>
    </cfRule>
    <cfRule type="expression" dxfId="512" priority="534">
      <formula>$E258=15</formula>
    </cfRule>
    <cfRule type="expression" dxfId="511" priority="535">
      <formula>$E258=14</formula>
    </cfRule>
    <cfRule type="expression" dxfId="510" priority="536">
      <formula>$E258=13</formula>
    </cfRule>
    <cfRule type="expression" dxfId="509" priority="537">
      <formula>$E258=12</formula>
    </cfRule>
  </conditionalFormatting>
  <conditionalFormatting sqref="N264:AG264 AJ264:XFD264">
    <cfRule type="expression" dxfId="508" priority="520">
      <formula>$E264=10</formula>
    </cfRule>
    <cfRule type="expression" dxfId="507" priority="521">
      <formula>$E264=11</formula>
    </cfRule>
    <cfRule type="expression" dxfId="506" priority="522">
      <formula>$E264=18</formula>
    </cfRule>
    <cfRule type="expression" dxfId="505" priority="523">
      <formula>$E264=17</formula>
    </cfRule>
    <cfRule type="expression" dxfId="504" priority="524">
      <formula>$E264=16</formula>
    </cfRule>
    <cfRule type="expression" dxfId="503" priority="525">
      <formula>$E264=15</formula>
    </cfRule>
    <cfRule type="expression" dxfId="502" priority="526">
      <formula>$E264=14</formula>
    </cfRule>
    <cfRule type="expression" dxfId="501" priority="527">
      <formula>$E264=13</formula>
    </cfRule>
    <cfRule type="expression" dxfId="500" priority="528">
      <formula>$E264=12</formula>
    </cfRule>
  </conditionalFormatting>
  <conditionalFormatting sqref="M264">
    <cfRule type="expression" dxfId="499" priority="456">
      <formula>$E264=10</formula>
    </cfRule>
    <cfRule type="expression" dxfId="498" priority="457">
      <formula>$E264=11</formula>
    </cfRule>
    <cfRule type="expression" dxfId="497" priority="458">
      <formula>$E264=18</formula>
    </cfRule>
    <cfRule type="expression" dxfId="496" priority="459">
      <formula>$E264=17</formula>
    </cfRule>
    <cfRule type="expression" dxfId="495" priority="460">
      <formula>$E264=16</formula>
    </cfRule>
    <cfRule type="expression" dxfId="494" priority="461">
      <formula>$E264=15</formula>
    </cfRule>
    <cfRule type="expression" dxfId="493" priority="462">
      <formula>$E264=14</formula>
    </cfRule>
    <cfRule type="expression" dxfId="492" priority="463">
      <formula>$E264=13</formula>
    </cfRule>
    <cfRule type="expression" dxfId="491" priority="464">
      <formula>$E264=12</formula>
    </cfRule>
  </conditionalFormatting>
  <conditionalFormatting sqref="K264">
    <cfRule type="expression" dxfId="490" priority="447">
      <formula>$E264=10</formula>
    </cfRule>
    <cfRule type="expression" dxfId="489" priority="448">
      <formula>$E264=11</formula>
    </cfRule>
    <cfRule type="expression" dxfId="488" priority="449">
      <formula>$E264=18</formula>
    </cfRule>
    <cfRule type="expression" dxfId="487" priority="450">
      <formula>$E264=17</formula>
    </cfRule>
    <cfRule type="expression" dxfId="486" priority="451">
      <formula>$E264=16</formula>
    </cfRule>
    <cfRule type="expression" dxfId="485" priority="452">
      <formula>$E264=15</formula>
    </cfRule>
    <cfRule type="expression" dxfId="484" priority="453">
      <formula>$E264=14</formula>
    </cfRule>
    <cfRule type="expression" dxfId="483" priority="454">
      <formula>$E264=13</formula>
    </cfRule>
    <cfRule type="expression" dxfId="482" priority="455">
      <formula>$E264=12</formula>
    </cfRule>
  </conditionalFormatting>
  <conditionalFormatting sqref="G264">
    <cfRule type="expression" dxfId="481" priority="438">
      <formula>$E264=10</formula>
    </cfRule>
    <cfRule type="expression" dxfId="480" priority="439">
      <formula>$E264=11</formula>
    </cfRule>
    <cfRule type="expression" dxfId="479" priority="440">
      <formula>$E264=18</formula>
    </cfRule>
    <cfRule type="expression" dxfId="478" priority="441">
      <formula>$E264=17</formula>
    </cfRule>
    <cfRule type="expression" dxfId="477" priority="442">
      <formula>$E264=16</formula>
    </cfRule>
    <cfRule type="expression" dxfId="476" priority="443">
      <formula>$E264=15</formula>
    </cfRule>
    <cfRule type="expression" dxfId="475" priority="444">
      <formula>$E264=14</formula>
    </cfRule>
    <cfRule type="expression" dxfId="474" priority="445">
      <formula>$E264=13</formula>
    </cfRule>
    <cfRule type="expression" dxfId="473" priority="446">
      <formula>$E264=12</formula>
    </cfRule>
  </conditionalFormatting>
  <conditionalFormatting sqref="C264:F264">
    <cfRule type="expression" dxfId="472" priority="429">
      <formula>$E264=10</formula>
    </cfRule>
    <cfRule type="expression" dxfId="471" priority="430">
      <formula>$E264=11</formula>
    </cfRule>
    <cfRule type="expression" dxfId="470" priority="431">
      <formula>$E264=18</formula>
    </cfRule>
    <cfRule type="expression" dxfId="469" priority="432">
      <formula>$E264=17</formula>
    </cfRule>
    <cfRule type="expression" dxfId="468" priority="433">
      <formula>$E264=16</formula>
    </cfRule>
    <cfRule type="expression" dxfId="467" priority="434">
      <formula>$E264=15</formula>
    </cfRule>
    <cfRule type="expression" dxfId="466" priority="435">
      <formula>$E264=14</formula>
    </cfRule>
    <cfRule type="expression" dxfId="465" priority="436">
      <formula>$E264=13</formula>
    </cfRule>
    <cfRule type="expression" dxfId="464" priority="437">
      <formula>$E264=12</formula>
    </cfRule>
  </conditionalFormatting>
  <conditionalFormatting sqref="A255:M255">
    <cfRule type="expression" dxfId="463" priority="510">
      <formula>$E255=10</formula>
    </cfRule>
    <cfRule type="expression" dxfId="462" priority="511">
      <formula>$E255=11</formula>
    </cfRule>
    <cfRule type="expression" dxfId="461" priority="512">
      <formula>$E255=18</formula>
    </cfRule>
    <cfRule type="expression" dxfId="460" priority="513">
      <formula>$E255=17</formula>
    </cfRule>
    <cfRule type="expression" dxfId="459" priority="514">
      <formula>$E255=16</formula>
    </cfRule>
    <cfRule type="expression" dxfId="458" priority="515">
      <formula>$E255=15</formula>
    </cfRule>
    <cfRule type="expression" dxfId="457" priority="516">
      <formula>$E255=14</formula>
    </cfRule>
    <cfRule type="expression" dxfId="456" priority="517">
      <formula>$E255=13</formula>
    </cfRule>
    <cfRule type="expression" dxfId="455" priority="518">
      <formula>$E255=12</formula>
    </cfRule>
  </conditionalFormatting>
  <conditionalFormatting sqref="A265:M268">
    <cfRule type="expression" dxfId="454" priority="501">
      <formula>$E265=10</formula>
    </cfRule>
    <cfRule type="expression" dxfId="453" priority="502">
      <formula>$E265=11</formula>
    </cfRule>
    <cfRule type="expression" dxfId="452" priority="503">
      <formula>$E265=18</formula>
    </cfRule>
    <cfRule type="expression" dxfId="451" priority="504">
      <formula>$E265=17</formula>
    </cfRule>
    <cfRule type="expression" dxfId="450" priority="505">
      <formula>$E265=16</formula>
    </cfRule>
    <cfRule type="expression" dxfId="449" priority="506">
      <formula>$E265=15</formula>
    </cfRule>
    <cfRule type="expression" dxfId="448" priority="507">
      <formula>$E265=14</formula>
    </cfRule>
    <cfRule type="expression" dxfId="447" priority="508">
      <formula>$E265=13</formula>
    </cfRule>
    <cfRule type="expression" dxfId="446" priority="509">
      <formula>$E265=12</formula>
    </cfRule>
  </conditionalFormatting>
  <conditionalFormatting sqref="A262:M262 A261:F261 J261:M261 H263 K263:M263 A263:F263">
    <cfRule type="expression" dxfId="445" priority="492">
      <formula>$E261=10</formula>
    </cfRule>
    <cfRule type="expression" dxfId="444" priority="493">
      <formula>$E261=11</formula>
    </cfRule>
    <cfRule type="expression" dxfId="443" priority="494">
      <formula>$E261=18</formula>
    </cfRule>
    <cfRule type="expression" dxfId="442" priority="495">
      <formula>$E261=17</formula>
    </cfRule>
    <cfRule type="expression" dxfId="441" priority="496">
      <formula>$E261=16</formula>
    </cfRule>
    <cfRule type="expression" dxfId="440" priority="497">
      <formula>$E261=15</formula>
    </cfRule>
    <cfRule type="expression" dxfId="439" priority="498">
      <formula>$E261=14</formula>
    </cfRule>
    <cfRule type="expression" dxfId="438" priority="499">
      <formula>$E261=13</formula>
    </cfRule>
    <cfRule type="expression" dxfId="437" priority="500">
      <formula>$E261=12</formula>
    </cfRule>
  </conditionalFormatting>
  <conditionalFormatting sqref="A258:M260">
    <cfRule type="expression" dxfId="436" priority="474">
      <formula>$E258=10</formula>
    </cfRule>
    <cfRule type="expression" dxfId="435" priority="475">
      <formula>$E258=11</formula>
    </cfRule>
    <cfRule type="expression" dxfId="434" priority="476">
      <formula>$E258=18</formula>
    </cfRule>
    <cfRule type="expression" dxfId="433" priority="477">
      <formula>$E258=17</formula>
    </cfRule>
    <cfRule type="expression" dxfId="432" priority="478">
      <formula>$E258=16</formula>
    </cfRule>
    <cfRule type="expression" dxfId="431" priority="479">
      <formula>$E258=15</formula>
    </cfRule>
    <cfRule type="expression" dxfId="430" priority="480">
      <formula>$E258=14</formula>
    </cfRule>
    <cfRule type="expression" dxfId="429" priority="481">
      <formula>$E258=13</formula>
    </cfRule>
    <cfRule type="expression" dxfId="428" priority="482">
      <formula>$E258=12</formula>
    </cfRule>
  </conditionalFormatting>
  <conditionalFormatting sqref="A264:B264 J264 L264 H264">
    <cfRule type="expression" dxfId="427" priority="465">
      <formula>$E264=10</formula>
    </cfRule>
    <cfRule type="expression" dxfId="426" priority="466">
      <formula>$E264=11</formula>
    </cfRule>
    <cfRule type="expression" dxfId="425" priority="467">
      <formula>$E264=18</formula>
    </cfRule>
    <cfRule type="expression" dxfId="424" priority="468">
      <formula>$E264=17</formula>
    </cfRule>
    <cfRule type="expression" dxfId="423" priority="469">
      <formula>$E264=16</formula>
    </cfRule>
    <cfRule type="expression" dxfId="422" priority="470">
      <formula>$E264=15</formula>
    </cfRule>
    <cfRule type="expression" dxfId="421" priority="471">
      <formula>$E264=14</formula>
    </cfRule>
    <cfRule type="expression" dxfId="420" priority="472">
      <formula>$E264=13</formula>
    </cfRule>
    <cfRule type="expression" dxfId="419" priority="473">
      <formula>$E264=12</formula>
    </cfRule>
  </conditionalFormatting>
  <conditionalFormatting sqref="N406:AG406 AJ406:XFD406">
    <cfRule type="expression" dxfId="418" priority="421">
      <formula>$E406&lt;12</formula>
    </cfRule>
    <cfRule type="expression" dxfId="417" priority="422">
      <formula>$E406=18</formula>
    </cfRule>
    <cfRule type="expression" dxfId="416" priority="423">
      <formula>$E406=17</formula>
    </cfRule>
    <cfRule type="expression" dxfId="415" priority="424">
      <formula>$E406=16</formula>
    </cfRule>
    <cfRule type="expression" dxfId="414" priority="425">
      <formula>$E406=15</formula>
    </cfRule>
    <cfRule type="expression" dxfId="413" priority="426">
      <formula>$E406=14</formula>
    </cfRule>
    <cfRule type="expression" dxfId="412" priority="427">
      <formula>$E406=13</formula>
    </cfRule>
    <cfRule type="expression" dxfId="411" priority="428">
      <formula>$E406=12</formula>
    </cfRule>
  </conditionalFormatting>
  <conditionalFormatting sqref="N406:AG406 AJ406:XFD406">
    <cfRule type="expression" dxfId="410" priority="412">
      <formula>$E406=10</formula>
    </cfRule>
    <cfRule type="expression" dxfId="409" priority="413">
      <formula>$E406=11</formula>
    </cfRule>
    <cfRule type="expression" dxfId="408" priority="414">
      <formula>$E406=18</formula>
    </cfRule>
    <cfRule type="expression" dxfId="407" priority="415">
      <formula>$E406=17</formula>
    </cfRule>
    <cfRule type="expression" dxfId="406" priority="416">
      <formula>$E406=16</formula>
    </cfRule>
    <cfRule type="expression" dxfId="405" priority="417">
      <formula>$E406=15</formula>
    </cfRule>
    <cfRule type="expression" dxfId="404" priority="418">
      <formula>$E406=14</formula>
    </cfRule>
    <cfRule type="expression" dxfId="403" priority="419">
      <formula>$E406=13</formula>
    </cfRule>
    <cfRule type="expression" dxfId="402" priority="420">
      <formula>$E406=12</formula>
    </cfRule>
  </conditionalFormatting>
  <conditionalFormatting sqref="G406:J406">
    <cfRule type="expression" dxfId="401" priority="404">
      <formula>$E406&lt;12</formula>
    </cfRule>
    <cfRule type="expression" dxfId="400" priority="405">
      <formula>$E406=18</formula>
    </cfRule>
    <cfRule type="expression" dxfId="399" priority="406">
      <formula>$E406=17</formula>
    </cfRule>
    <cfRule type="expression" dxfId="398" priority="407">
      <formula>$E406=16</formula>
    </cfRule>
    <cfRule type="expression" dxfId="397" priority="408">
      <formula>$E406=15</formula>
    </cfRule>
    <cfRule type="expression" dxfId="396" priority="409">
      <formula>$E406=14</formula>
    </cfRule>
    <cfRule type="expression" dxfId="395" priority="410">
      <formula>$E406=13</formula>
    </cfRule>
    <cfRule type="expression" dxfId="394" priority="411">
      <formula>$E406=12</formula>
    </cfRule>
  </conditionalFormatting>
  <conditionalFormatting sqref="G406:J406">
    <cfRule type="expression" dxfId="393" priority="395">
      <formula>$E406=10</formula>
    </cfRule>
    <cfRule type="expression" dxfId="392" priority="396">
      <formula>$E406=11</formula>
    </cfRule>
    <cfRule type="expression" dxfId="391" priority="397">
      <formula>$E406=18</formula>
    </cfRule>
    <cfRule type="expression" dxfId="390" priority="398">
      <formula>$E406=17</formula>
    </cfRule>
    <cfRule type="expression" dxfId="389" priority="399">
      <formula>$E406=16</formula>
    </cfRule>
    <cfRule type="expression" dxfId="388" priority="400">
      <formula>$E406=15</formula>
    </cfRule>
    <cfRule type="expression" dxfId="387" priority="401">
      <formula>$E406=14</formula>
    </cfRule>
    <cfRule type="expression" dxfId="386" priority="402">
      <formula>$E406=13</formula>
    </cfRule>
    <cfRule type="expression" dxfId="385" priority="403">
      <formula>$E406=12</formula>
    </cfRule>
  </conditionalFormatting>
  <conditionalFormatting sqref="AJ404:XFD404 N404:AG404">
    <cfRule type="expression" dxfId="384" priority="387">
      <formula>$E404&lt;12</formula>
    </cfRule>
    <cfRule type="expression" dxfId="383" priority="388">
      <formula>$E404=18</formula>
    </cfRule>
    <cfRule type="expression" dxfId="382" priority="389">
      <formula>$E404=17</formula>
    </cfRule>
    <cfRule type="expression" dxfId="381" priority="390">
      <formula>$E404=16</formula>
    </cfRule>
    <cfRule type="expression" dxfId="380" priority="391">
      <formula>$E404=15</formula>
    </cfRule>
    <cfRule type="expression" dxfId="379" priority="392">
      <formula>$E404=14</formula>
    </cfRule>
    <cfRule type="expression" dxfId="378" priority="393">
      <formula>$E404=13</formula>
    </cfRule>
    <cfRule type="expression" dxfId="377" priority="394">
      <formula>$E404=12</formula>
    </cfRule>
  </conditionalFormatting>
  <conditionalFormatting sqref="AJ404:XFD404 N404:AG404">
    <cfRule type="expression" dxfId="376" priority="378">
      <formula>$E404=10</formula>
    </cfRule>
    <cfRule type="expression" dxfId="375" priority="379">
      <formula>$E404=11</formula>
    </cfRule>
    <cfRule type="expression" dxfId="374" priority="380">
      <formula>$E404=18</formula>
    </cfRule>
    <cfRule type="expression" dxfId="373" priority="381">
      <formula>$E404=17</formula>
    </cfRule>
    <cfRule type="expression" dxfId="372" priority="382">
      <formula>$E404=16</formula>
    </cfRule>
    <cfRule type="expression" dxfId="371" priority="383">
      <formula>$E404=15</formula>
    </cfRule>
    <cfRule type="expression" dxfId="370" priority="384">
      <formula>$E404=14</formula>
    </cfRule>
    <cfRule type="expression" dxfId="369" priority="385">
      <formula>$E404=13</formula>
    </cfRule>
    <cfRule type="expression" dxfId="368" priority="386">
      <formula>$E404=12</formula>
    </cfRule>
  </conditionalFormatting>
  <conditionalFormatting sqref="K404">
    <cfRule type="expression" dxfId="367" priority="352">
      <formula>$E404=10</formula>
    </cfRule>
    <cfRule type="expression" dxfId="366" priority="353">
      <formula>$E404=11</formula>
    </cfRule>
    <cfRule type="expression" dxfId="365" priority="354">
      <formula>$E404=18</formula>
    </cfRule>
    <cfRule type="expression" dxfId="364" priority="355">
      <formula>$E404=17</formula>
    </cfRule>
    <cfRule type="expression" dxfId="363" priority="356">
      <formula>$E404=16</formula>
    </cfRule>
    <cfRule type="expression" dxfId="362" priority="357">
      <formula>$E404=15</formula>
    </cfRule>
    <cfRule type="expression" dxfId="361" priority="358">
      <formula>$E404=14</formula>
    </cfRule>
    <cfRule type="expression" dxfId="360" priority="359">
      <formula>$E404=13</formula>
    </cfRule>
    <cfRule type="expression" dxfId="359" priority="360">
      <formula>$E404=12</formula>
    </cfRule>
  </conditionalFormatting>
  <conditionalFormatting sqref="A404:M404">
    <cfRule type="expression" dxfId="358" priority="370">
      <formula>$E404&lt;12</formula>
    </cfRule>
    <cfRule type="expression" dxfId="357" priority="371">
      <formula>$E404=18</formula>
    </cfRule>
    <cfRule type="expression" dxfId="356" priority="372">
      <formula>$E404=17</formula>
    </cfRule>
    <cfRule type="expression" dxfId="355" priority="373">
      <formula>$E404=16</formula>
    </cfRule>
    <cfRule type="expression" dxfId="354" priority="374">
      <formula>$E404=15</formula>
    </cfRule>
    <cfRule type="expression" dxfId="353" priority="375">
      <formula>$E404=14</formula>
    </cfRule>
    <cfRule type="expression" dxfId="352" priority="376">
      <formula>$E404=13</formula>
    </cfRule>
    <cfRule type="expression" dxfId="351" priority="377">
      <formula>$E404=12</formula>
    </cfRule>
  </conditionalFormatting>
  <conditionalFormatting sqref="A404:M404">
    <cfRule type="expression" dxfId="350" priority="361">
      <formula>$E404=10</formula>
    </cfRule>
    <cfRule type="expression" dxfId="349" priority="362">
      <formula>$E404=11</formula>
    </cfRule>
    <cfRule type="expression" dxfId="348" priority="363">
      <formula>$E404=18</formula>
    </cfRule>
    <cfRule type="expression" dxfId="347" priority="364">
      <formula>$E404=17</formula>
    </cfRule>
    <cfRule type="expression" dxfId="346" priority="365">
      <formula>$E404=16</formula>
    </cfRule>
    <cfRule type="expression" dxfId="345" priority="366">
      <formula>$E404=15</formula>
    </cfRule>
    <cfRule type="expression" dxfId="344" priority="367">
      <formula>$E404=14</formula>
    </cfRule>
    <cfRule type="expression" dxfId="343" priority="368">
      <formula>$E404=13</formula>
    </cfRule>
    <cfRule type="expression" dxfId="342" priority="369">
      <formula>$E404=12</formula>
    </cfRule>
  </conditionalFormatting>
  <conditionalFormatting sqref="AJ405:XFD405 N405:AG405">
    <cfRule type="expression" dxfId="341" priority="344">
      <formula>$E405&lt;12</formula>
    </cfRule>
    <cfRule type="expression" dxfId="340" priority="345">
      <formula>$E405=18</formula>
    </cfRule>
    <cfRule type="expression" dxfId="339" priority="346">
      <formula>$E405=17</formula>
    </cfRule>
    <cfRule type="expression" dxfId="338" priority="347">
      <formula>$E405=16</formula>
    </cfRule>
    <cfRule type="expression" dxfId="337" priority="348">
      <formula>$E405=15</formula>
    </cfRule>
    <cfRule type="expression" dxfId="336" priority="349">
      <formula>$E405=14</formula>
    </cfRule>
    <cfRule type="expression" dxfId="335" priority="350">
      <formula>$E405=13</formula>
    </cfRule>
    <cfRule type="expression" dxfId="334" priority="351">
      <formula>$E405=12</formula>
    </cfRule>
  </conditionalFormatting>
  <conditionalFormatting sqref="AJ405:XFD405 N405:AG405">
    <cfRule type="expression" dxfId="333" priority="335">
      <formula>$E405=10</formula>
    </cfRule>
    <cfRule type="expression" dxfId="332" priority="336">
      <formula>$E405=11</formula>
    </cfRule>
    <cfRule type="expression" dxfId="331" priority="337">
      <formula>$E405=18</formula>
    </cfRule>
    <cfRule type="expression" dxfId="330" priority="338">
      <formula>$E405=17</formula>
    </cfRule>
    <cfRule type="expression" dxfId="329" priority="339">
      <formula>$E405=16</formula>
    </cfRule>
    <cfRule type="expression" dxfId="328" priority="340">
      <formula>$E405=15</formula>
    </cfRule>
    <cfRule type="expression" dxfId="327" priority="341">
      <formula>$E405=14</formula>
    </cfRule>
    <cfRule type="expression" dxfId="326" priority="342">
      <formula>$E405=13</formula>
    </cfRule>
    <cfRule type="expression" dxfId="325" priority="343">
      <formula>$E405=12</formula>
    </cfRule>
  </conditionalFormatting>
  <conditionalFormatting sqref="G405:J405 L405:M405">
    <cfRule type="expression" dxfId="324" priority="327">
      <formula>$E405&lt;12</formula>
    </cfRule>
    <cfRule type="expression" dxfId="323" priority="328">
      <formula>$E405=18</formula>
    </cfRule>
    <cfRule type="expression" dxfId="322" priority="329">
      <formula>$E405=17</formula>
    </cfRule>
    <cfRule type="expression" dxfId="321" priority="330">
      <formula>$E405=16</formula>
    </cfRule>
    <cfRule type="expression" dxfId="320" priority="331">
      <formula>$E405=15</formula>
    </cfRule>
    <cfRule type="expression" dxfId="319" priority="332">
      <formula>$E405=14</formula>
    </cfRule>
    <cfRule type="expression" dxfId="318" priority="333">
      <formula>$E405=13</formula>
    </cfRule>
    <cfRule type="expression" dxfId="317" priority="334">
      <formula>$E405=12</formula>
    </cfRule>
  </conditionalFormatting>
  <conditionalFormatting sqref="G405:J405 L405:M405">
    <cfRule type="expression" dxfId="316" priority="318">
      <formula>$E405=10</formula>
    </cfRule>
    <cfRule type="expression" dxfId="315" priority="319">
      <formula>$E405=11</formula>
    </cfRule>
    <cfRule type="expression" dxfId="314" priority="320">
      <formula>$E405=18</formula>
    </cfRule>
    <cfRule type="expression" dxfId="313" priority="321">
      <formula>$E405=17</formula>
    </cfRule>
    <cfRule type="expression" dxfId="312" priority="322">
      <formula>$E405=16</formula>
    </cfRule>
    <cfRule type="expression" dxfId="311" priority="323">
      <formula>$E405=15</formula>
    </cfRule>
    <cfRule type="expression" dxfId="310" priority="324">
      <formula>$E405=14</formula>
    </cfRule>
    <cfRule type="expression" dxfId="309" priority="325">
      <formula>$E405=13</formula>
    </cfRule>
    <cfRule type="expression" dxfId="308" priority="326">
      <formula>$E405=12</formula>
    </cfRule>
  </conditionalFormatting>
  <conditionalFormatting sqref="A405:F405">
    <cfRule type="expression" dxfId="307" priority="310">
      <formula>$E405&lt;12</formula>
    </cfRule>
    <cfRule type="expression" dxfId="306" priority="311">
      <formula>$E405=18</formula>
    </cfRule>
    <cfRule type="expression" dxfId="305" priority="312">
      <formula>$E405=17</formula>
    </cfRule>
    <cfRule type="expression" dxfId="304" priority="313">
      <formula>$E405=16</formula>
    </cfRule>
    <cfRule type="expression" dxfId="303" priority="314">
      <formula>$E405=15</formula>
    </cfRule>
    <cfRule type="expression" dxfId="302" priority="315">
      <formula>$E405=14</formula>
    </cfRule>
    <cfRule type="expression" dxfId="301" priority="316">
      <formula>$E405=13</formula>
    </cfRule>
    <cfRule type="expression" dxfId="300" priority="317">
      <formula>$E405=12</formula>
    </cfRule>
  </conditionalFormatting>
  <conditionalFormatting sqref="A405:F405">
    <cfRule type="expression" dxfId="299" priority="301">
      <formula>$E405=10</formula>
    </cfRule>
    <cfRule type="expression" dxfId="298" priority="302">
      <formula>$E405=11</formula>
    </cfRule>
    <cfRule type="expression" dxfId="297" priority="303">
      <formula>$E405=18</formula>
    </cfRule>
    <cfRule type="expression" dxfId="296" priority="304">
      <formula>$E405=17</formula>
    </cfRule>
    <cfRule type="expression" dxfId="295" priority="305">
      <formula>$E405=16</formula>
    </cfRule>
    <cfRule type="expression" dxfId="294" priority="306">
      <formula>$E405=15</formula>
    </cfRule>
    <cfRule type="expression" dxfId="293" priority="307">
      <formula>$E405=14</formula>
    </cfRule>
    <cfRule type="expression" dxfId="292" priority="308">
      <formula>$E405=13</formula>
    </cfRule>
    <cfRule type="expression" dxfId="291" priority="309">
      <formula>$E405=12</formula>
    </cfRule>
  </conditionalFormatting>
  <conditionalFormatting sqref="K405">
    <cfRule type="expression" dxfId="290" priority="275">
      <formula>$E405=10</formula>
    </cfRule>
    <cfRule type="expression" dxfId="289" priority="276">
      <formula>$E405=11</formula>
    </cfRule>
    <cfRule type="expression" dxfId="288" priority="277">
      <formula>$E405=18</formula>
    </cfRule>
    <cfRule type="expression" dxfId="287" priority="278">
      <formula>$E405=17</formula>
    </cfRule>
    <cfRule type="expression" dxfId="286" priority="279">
      <formula>$E405=16</formula>
    </cfRule>
    <cfRule type="expression" dxfId="285" priority="280">
      <formula>$E405=15</formula>
    </cfRule>
    <cfRule type="expression" dxfId="284" priority="281">
      <formula>$E405=14</formula>
    </cfRule>
    <cfRule type="expression" dxfId="283" priority="282">
      <formula>$E405=13</formula>
    </cfRule>
    <cfRule type="expression" dxfId="282" priority="283">
      <formula>$E405=12</formula>
    </cfRule>
  </conditionalFormatting>
  <conditionalFormatting sqref="K405">
    <cfRule type="expression" dxfId="281" priority="293">
      <formula>$E405&lt;12</formula>
    </cfRule>
    <cfRule type="expression" dxfId="280" priority="294">
      <formula>$E405=18</formula>
    </cfRule>
    <cfRule type="expression" dxfId="279" priority="295">
      <formula>$E405=17</formula>
    </cfRule>
    <cfRule type="expression" dxfId="278" priority="296">
      <formula>$E405=16</formula>
    </cfRule>
    <cfRule type="expression" dxfId="277" priority="297">
      <formula>$E405=15</formula>
    </cfRule>
    <cfRule type="expression" dxfId="276" priority="298">
      <formula>$E405=14</formula>
    </cfRule>
    <cfRule type="expression" dxfId="275" priority="299">
      <formula>$E405=13</formula>
    </cfRule>
    <cfRule type="expression" dxfId="274" priority="300">
      <formula>$E405=12</formula>
    </cfRule>
  </conditionalFormatting>
  <conditionalFormatting sqref="K405">
    <cfRule type="expression" dxfId="273" priority="284">
      <formula>$E405=10</formula>
    </cfRule>
    <cfRule type="expression" dxfId="272" priority="285">
      <formula>$E405=11</formula>
    </cfRule>
    <cfRule type="expression" dxfId="271" priority="286">
      <formula>$E405=18</formula>
    </cfRule>
    <cfRule type="expression" dxfId="270" priority="287">
      <formula>$E405=17</formula>
    </cfRule>
    <cfRule type="expression" dxfId="269" priority="288">
      <formula>$E405=16</formula>
    </cfRule>
    <cfRule type="expression" dxfId="268" priority="289">
      <formula>$E405=15</formula>
    </cfRule>
    <cfRule type="expression" dxfId="267" priority="290">
      <formula>$E405=14</formula>
    </cfRule>
    <cfRule type="expression" dxfId="266" priority="291">
      <formula>$E405=13</formula>
    </cfRule>
    <cfRule type="expression" dxfId="265" priority="292">
      <formula>$E405=12</formula>
    </cfRule>
  </conditionalFormatting>
  <conditionalFormatting sqref="A406:F406">
    <cfRule type="expression" dxfId="264" priority="267">
      <formula>$E406&lt;12</formula>
    </cfRule>
    <cfRule type="expression" dxfId="263" priority="268">
      <formula>$E406=18</formula>
    </cfRule>
    <cfRule type="expression" dxfId="262" priority="269">
      <formula>$E406=17</formula>
    </cfRule>
    <cfRule type="expression" dxfId="261" priority="270">
      <formula>$E406=16</formula>
    </cfRule>
    <cfRule type="expression" dxfId="260" priority="271">
      <formula>$E406=15</formula>
    </cfRule>
    <cfRule type="expression" dxfId="259" priority="272">
      <formula>$E406=14</formula>
    </cfRule>
    <cfRule type="expression" dxfId="258" priority="273">
      <formula>$E406=13</formula>
    </cfRule>
    <cfRule type="expression" dxfId="257" priority="274">
      <formula>$E406=12</formula>
    </cfRule>
  </conditionalFormatting>
  <conditionalFormatting sqref="A406:F406">
    <cfRule type="expression" dxfId="256" priority="258">
      <formula>$E406=10</formula>
    </cfRule>
    <cfRule type="expression" dxfId="255" priority="259">
      <formula>$E406=11</formula>
    </cfRule>
    <cfRule type="expression" dxfId="254" priority="260">
      <formula>$E406=18</formula>
    </cfRule>
    <cfRule type="expression" dxfId="253" priority="261">
      <formula>$E406=17</formula>
    </cfRule>
    <cfRule type="expression" dxfId="252" priority="262">
      <formula>$E406=16</formula>
    </cfRule>
    <cfRule type="expression" dxfId="251" priority="263">
      <formula>$E406=15</formula>
    </cfRule>
    <cfRule type="expression" dxfId="250" priority="264">
      <formula>$E406=14</formula>
    </cfRule>
    <cfRule type="expression" dxfId="249" priority="265">
      <formula>$E406=13</formula>
    </cfRule>
    <cfRule type="expression" dxfId="248" priority="266">
      <formula>$E406=12</formula>
    </cfRule>
  </conditionalFormatting>
  <conditionalFormatting sqref="L406:M406">
    <cfRule type="expression" dxfId="247" priority="250">
      <formula>$E406&lt;12</formula>
    </cfRule>
    <cfRule type="expression" dxfId="246" priority="251">
      <formula>$E406=18</formula>
    </cfRule>
    <cfRule type="expression" dxfId="245" priority="252">
      <formula>$E406=17</formula>
    </cfRule>
    <cfRule type="expression" dxfId="244" priority="253">
      <formula>$E406=16</formula>
    </cfRule>
    <cfRule type="expression" dxfId="243" priority="254">
      <formula>$E406=15</formula>
    </cfRule>
    <cfRule type="expression" dxfId="242" priority="255">
      <formula>$E406=14</formula>
    </cfRule>
    <cfRule type="expression" dxfId="241" priority="256">
      <formula>$E406=13</formula>
    </cfRule>
    <cfRule type="expression" dxfId="240" priority="257">
      <formula>$E406=12</formula>
    </cfRule>
  </conditionalFormatting>
  <conditionalFormatting sqref="L406:M406">
    <cfRule type="expression" dxfId="239" priority="241">
      <formula>$E406=10</formula>
    </cfRule>
    <cfRule type="expression" dxfId="238" priority="242">
      <formula>$E406=11</formula>
    </cfRule>
    <cfRule type="expression" dxfId="237" priority="243">
      <formula>$E406=18</formula>
    </cfRule>
    <cfRule type="expression" dxfId="236" priority="244">
      <formula>$E406=17</formula>
    </cfRule>
    <cfRule type="expression" dxfId="235" priority="245">
      <formula>$E406=16</formula>
    </cfRule>
    <cfRule type="expression" dxfId="234" priority="246">
      <formula>$E406=15</formula>
    </cfRule>
    <cfRule type="expression" dxfId="233" priority="247">
      <formula>$E406=14</formula>
    </cfRule>
    <cfRule type="expression" dxfId="232" priority="248">
      <formula>$E406=13</formula>
    </cfRule>
    <cfRule type="expression" dxfId="231" priority="249">
      <formula>$E406=12</formula>
    </cfRule>
  </conditionalFormatting>
  <conditionalFormatting sqref="K406">
    <cfRule type="expression" dxfId="230" priority="215">
      <formula>$E406=10</formula>
    </cfRule>
    <cfRule type="expression" dxfId="229" priority="216">
      <formula>$E406=11</formula>
    </cfRule>
    <cfRule type="expression" dxfId="228" priority="217">
      <formula>$E406=18</formula>
    </cfRule>
    <cfRule type="expression" dxfId="227" priority="218">
      <formula>$E406=17</formula>
    </cfRule>
    <cfRule type="expression" dxfId="226" priority="219">
      <formula>$E406=16</formula>
    </cfRule>
    <cfRule type="expression" dxfId="225" priority="220">
      <formula>$E406=15</formula>
    </cfRule>
    <cfRule type="expression" dxfId="224" priority="221">
      <formula>$E406=14</formula>
    </cfRule>
    <cfRule type="expression" dxfId="223" priority="222">
      <formula>$E406=13</formula>
    </cfRule>
    <cfRule type="expression" dxfId="222" priority="223">
      <formula>$E406=12</formula>
    </cfRule>
  </conditionalFormatting>
  <conditionalFormatting sqref="K406">
    <cfRule type="expression" dxfId="221" priority="233">
      <formula>$E406&lt;12</formula>
    </cfRule>
    <cfRule type="expression" dxfId="220" priority="234">
      <formula>$E406=18</formula>
    </cfRule>
    <cfRule type="expression" dxfId="219" priority="235">
      <formula>$E406=17</formula>
    </cfRule>
    <cfRule type="expression" dxfId="218" priority="236">
      <formula>$E406=16</formula>
    </cfRule>
    <cfRule type="expression" dxfId="217" priority="237">
      <formula>$E406=15</formula>
    </cfRule>
    <cfRule type="expression" dxfId="216" priority="238">
      <formula>$E406=14</formula>
    </cfRule>
    <cfRule type="expression" dxfId="215" priority="239">
      <formula>$E406=13</formula>
    </cfRule>
    <cfRule type="expression" dxfId="214" priority="240">
      <formula>$E406=12</formula>
    </cfRule>
  </conditionalFormatting>
  <conditionalFormatting sqref="K406">
    <cfRule type="expression" dxfId="213" priority="224">
      <formula>$E406=10</formula>
    </cfRule>
    <cfRule type="expression" dxfId="212" priority="225">
      <formula>$E406=11</formula>
    </cfRule>
    <cfRule type="expression" dxfId="211" priority="226">
      <formula>$E406=18</formula>
    </cfRule>
    <cfRule type="expression" dxfId="210" priority="227">
      <formula>$E406=17</formula>
    </cfRule>
    <cfRule type="expression" dxfId="209" priority="228">
      <formula>$E406=16</formula>
    </cfRule>
    <cfRule type="expression" dxfId="208" priority="229">
      <formula>$E406=15</formula>
    </cfRule>
    <cfRule type="expression" dxfId="207" priority="230">
      <formula>$E406=14</formula>
    </cfRule>
    <cfRule type="expression" dxfId="206" priority="231">
      <formula>$E406=13</formula>
    </cfRule>
    <cfRule type="expression" dxfId="205" priority="232">
      <formula>$E406=12</formula>
    </cfRule>
  </conditionalFormatting>
  <conditionalFormatting sqref="A407:F407">
    <cfRule type="expression" dxfId="204" priority="207">
      <formula>$E407&lt;12</formula>
    </cfRule>
    <cfRule type="expression" dxfId="203" priority="208">
      <formula>$E407=18</formula>
    </cfRule>
    <cfRule type="expression" dxfId="202" priority="209">
      <formula>$E407=17</formula>
    </cfRule>
    <cfRule type="expression" dxfId="201" priority="210">
      <formula>$E407=16</formula>
    </cfRule>
    <cfRule type="expression" dxfId="200" priority="211">
      <formula>$E407=15</formula>
    </cfRule>
    <cfRule type="expression" dxfId="199" priority="212">
      <formula>$E407=14</formula>
    </cfRule>
    <cfRule type="expression" dxfId="198" priority="213">
      <formula>$E407=13</formula>
    </cfRule>
    <cfRule type="expression" dxfId="197" priority="214">
      <formula>$E407=12</formula>
    </cfRule>
  </conditionalFormatting>
  <conditionalFormatting sqref="A407:F407">
    <cfRule type="expression" dxfId="196" priority="198">
      <formula>$E407=10</formula>
    </cfRule>
    <cfRule type="expression" dxfId="195" priority="199">
      <formula>$E407=11</formula>
    </cfRule>
    <cfRule type="expression" dxfId="194" priority="200">
      <formula>$E407=18</formula>
    </cfRule>
    <cfRule type="expression" dxfId="193" priority="201">
      <formula>$E407=17</formula>
    </cfRule>
    <cfRule type="expression" dxfId="192" priority="202">
      <formula>$E407=16</formula>
    </cfRule>
    <cfRule type="expression" dxfId="191" priority="203">
      <formula>$E407=15</formula>
    </cfRule>
    <cfRule type="expression" dxfId="190" priority="204">
      <formula>$E407=14</formula>
    </cfRule>
    <cfRule type="expression" dxfId="189" priority="205">
      <formula>$E407=13</formula>
    </cfRule>
    <cfRule type="expression" dxfId="188" priority="206">
      <formula>$E407=12</formula>
    </cfRule>
  </conditionalFormatting>
  <conditionalFormatting sqref="L407:M407">
    <cfRule type="expression" dxfId="187" priority="190">
      <formula>$E407&lt;12</formula>
    </cfRule>
    <cfRule type="expression" dxfId="186" priority="191">
      <formula>$E407=18</formula>
    </cfRule>
    <cfRule type="expression" dxfId="185" priority="192">
      <formula>$E407=17</formula>
    </cfRule>
    <cfRule type="expression" dxfId="184" priority="193">
      <formula>$E407=16</formula>
    </cfRule>
    <cfRule type="expression" dxfId="183" priority="194">
      <formula>$E407=15</formula>
    </cfRule>
    <cfRule type="expression" dxfId="182" priority="195">
      <formula>$E407=14</formula>
    </cfRule>
    <cfRule type="expression" dxfId="181" priority="196">
      <formula>$E407=13</formula>
    </cfRule>
    <cfRule type="expression" dxfId="180" priority="197">
      <formula>$E407=12</formula>
    </cfRule>
  </conditionalFormatting>
  <conditionalFormatting sqref="L407:M407">
    <cfRule type="expression" dxfId="179" priority="181">
      <formula>$E407=10</formula>
    </cfRule>
    <cfRule type="expression" dxfId="178" priority="182">
      <formula>$E407=11</formula>
    </cfRule>
    <cfRule type="expression" dxfId="177" priority="183">
      <formula>$E407=18</formula>
    </cfRule>
    <cfRule type="expression" dxfId="176" priority="184">
      <formula>$E407=17</formula>
    </cfRule>
    <cfRule type="expression" dxfId="175" priority="185">
      <formula>$E407=16</formula>
    </cfRule>
    <cfRule type="expression" dxfId="174" priority="186">
      <formula>$E407=15</formula>
    </cfRule>
    <cfRule type="expression" dxfId="173" priority="187">
      <formula>$E407=14</formula>
    </cfRule>
    <cfRule type="expression" dxfId="172" priority="188">
      <formula>$E407=13</formula>
    </cfRule>
    <cfRule type="expression" dxfId="171" priority="189">
      <formula>$E407=12</formula>
    </cfRule>
  </conditionalFormatting>
  <conditionalFormatting sqref="K407">
    <cfRule type="expression" dxfId="170" priority="155">
      <formula>$E407=10</formula>
    </cfRule>
    <cfRule type="expression" dxfId="169" priority="156">
      <formula>$E407=11</formula>
    </cfRule>
    <cfRule type="expression" dxfId="168" priority="157">
      <formula>$E407=18</formula>
    </cfRule>
    <cfRule type="expression" dxfId="167" priority="158">
      <formula>$E407=17</formula>
    </cfRule>
    <cfRule type="expression" dxfId="166" priority="159">
      <formula>$E407=16</formula>
    </cfRule>
    <cfRule type="expression" dxfId="165" priority="160">
      <formula>$E407=15</formula>
    </cfRule>
    <cfRule type="expression" dxfId="164" priority="161">
      <formula>$E407=14</formula>
    </cfRule>
    <cfRule type="expression" dxfId="163" priority="162">
      <formula>$E407=13</formula>
    </cfRule>
    <cfRule type="expression" dxfId="162" priority="163">
      <formula>$E407=12</formula>
    </cfRule>
  </conditionalFormatting>
  <conditionalFormatting sqref="K407">
    <cfRule type="expression" dxfId="161" priority="173">
      <formula>$E407&lt;12</formula>
    </cfRule>
    <cfRule type="expression" dxfId="160" priority="174">
      <formula>$E407=18</formula>
    </cfRule>
    <cfRule type="expression" dxfId="159" priority="175">
      <formula>$E407=17</formula>
    </cfRule>
    <cfRule type="expression" dxfId="158" priority="176">
      <formula>$E407=16</formula>
    </cfRule>
    <cfRule type="expression" dxfId="157" priority="177">
      <formula>$E407=15</formula>
    </cfRule>
    <cfRule type="expression" dxfId="156" priority="178">
      <formula>$E407=14</formula>
    </cfRule>
    <cfRule type="expression" dxfId="155" priority="179">
      <formula>$E407=13</formula>
    </cfRule>
    <cfRule type="expression" dxfId="154" priority="180">
      <formula>$E407=12</formula>
    </cfRule>
  </conditionalFormatting>
  <conditionalFormatting sqref="K407">
    <cfRule type="expression" dxfId="153" priority="164">
      <formula>$E407=10</formula>
    </cfRule>
    <cfRule type="expression" dxfId="152" priority="165">
      <formula>$E407=11</formula>
    </cfRule>
    <cfRule type="expression" dxfId="151" priority="166">
      <formula>$E407=18</formula>
    </cfRule>
    <cfRule type="expression" dxfId="150" priority="167">
      <formula>$E407=17</formula>
    </cfRule>
    <cfRule type="expression" dxfId="149" priority="168">
      <formula>$E407=16</formula>
    </cfRule>
    <cfRule type="expression" dxfId="148" priority="169">
      <formula>$E407=15</formula>
    </cfRule>
    <cfRule type="expression" dxfId="147" priority="170">
      <formula>$E407=14</formula>
    </cfRule>
    <cfRule type="expression" dxfId="146" priority="171">
      <formula>$E407=13</formula>
    </cfRule>
    <cfRule type="expression" dxfId="145" priority="172">
      <formula>$E407=12</formula>
    </cfRule>
  </conditionalFormatting>
  <conditionalFormatting sqref="J407">
    <cfRule type="expression" dxfId="144" priority="147">
      <formula>$E407&lt;12</formula>
    </cfRule>
    <cfRule type="expression" dxfId="143" priority="148">
      <formula>$E407=18</formula>
    </cfRule>
    <cfRule type="expression" dxfId="142" priority="149">
      <formula>$E407=17</formula>
    </cfRule>
    <cfRule type="expression" dxfId="141" priority="150">
      <formula>$E407=16</formula>
    </cfRule>
    <cfRule type="expression" dxfId="140" priority="151">
      <formula>$E407=15</formula>
    </cfRule>
    <cfRule type="expression" dxfId="139" priority="152">
      <formula>$E407=14</formula>
    </cfRule>
    <cfRule type="expression" dxfId="138" priority="153">
      <formula>$E407=13</formula>
    </cfRule>
    <cfRule type="expression" dxfId="137" priority="154">
      <formula>$E407=12</formula>
    </cfRule>
  </conditionalFormatting>
  <conditionalFormatting sqref="J407">
    <cfRule type="expression" dxfId="136" priority="138">
      <formula>$E407=10</formula>
    </cfRule>
    <cfRule type="expression" dxfId="135" priority="139">
      <formula>$E407=11</formula>
    </cfRule>
    <cfRule type="expression" dxfId="134" priority="140">
      <formula>$E407=18</formula>
    </cfRule>
    <cfRule type="expression" dxfId="133" priority="141">
      <formula>$E407=17</formula>
    </cfRule>
    <cfRule type="expression" dxfId="132" priority="142">
      <formula>$E407=16</formula>
    </cfRule>
    <cfRule type="expression" dxfId="131" priority="143">
      <formula>$E407=15</formula>
    </cfRule>
    <cfRule type="expression" dxfId="130" priority="144">
      <formula>$E407=14</formula>
    </cfRule>
    <cfRule type="expression" dxfId="129" priority="145">
      <formula>$E407=13</formula>
    </cfRule>
    <cfRule type="expression" dxfId="128" priority="146">
      <formula>$E407=12</formula>
    </cfRule>
  </conditionalFormatting>
  <conditionalFormatting sqref="A408:F408">
    <cfRule type="expression" dxfId="127" priority="130">
      <formula>$E408&lt;12</formula>
    </cfRule>
    <cfRule type="expression" dxfId="126" priority="131">
      <formula>$E408=18</formula>
    </cfRule>
    <cfRule type="expression" dxfId="125" priority="132">
      <formula>$E408=17</formula>
    </cfRule>
    <cfRule type="expression" dxfId="124" priority="133">
      <formula>$E408=16</formula>
    </cfRule>
    <cfRule type="expression" dxfId="123" priority="134">
      <formula>$E408=15</formula>
    </cfRule>
    <cfRule type="expression" dxfId="122" priority="135">
      <formula>$E408=14</formula>
    </cfRule>
    <cfRule type="expression" dxfId="121" priority="136">
      <formula>$E408=13</formula>
    </cfRule>
    <cfRule type="expression" dxfId="120" priority="137">
      <formula>$E408=12</formula>
    </cfRule>
  </conditionalFormatting>
  <conditionalFormatting sqref="A408:F408">
    <cfRule type="expression" dxfId="119" priority="121">
      <formula>$E408=10</formula>
    </cfRule>
    <cfRule type="expression" dxfId="118" priority="122">
      <formula>$E408=11</formula>
    </cfRule>
    <cfRule type="expression" dxfId="117" priority="123">
      <formula>$E408=18</formula>
    </cfRule>
    <cfRule type="expression" dxfId="116" priority="124">
      <formula>$E408=17</formula>
    </cfRule>
    <cfRule type="expression" dxfId="115" priority="125">
      <formula>$E408=16</formula>
    </cfRule>
    <cfRule type="expression" dxfId="114" priority="126">
      <formula>$E408=15</formula>
    </cfRule>
    <cfRule type="expression" dxfId="113" priority="127">
      <formula>$E408=14</formula>
    </cfRule>
    <cfRule type="expression" dxfId="112" priority="128">
      <formula>$E408=13</formula>
    </cfRule>
    <cfRule type="expression" dxfId="111" priority="129">
      <formula>$E408=12</formula>
    </cfRule>
  </conditionalFormatting>
  <conditionalFormatting sqref="L408:M408">
    <cfRule type="expression" dxfId="110" priority="113">
      <formula>$E408&lt;12</formula>
    </cfRule>
    <cfRule type="expression" dxfId="109" priority="114">
      <formula>$E408=18</formula>
    </cfRule>
    <cfRule type="expression" dxfId="108" priority="115">
      <formula>$E408=17</formula>
    </cfRule>
    <cfRule type="expression" dxfId="107" priority="116">
      <formula>$E408=16</formula>
    </cfRule>
    <cfRule type="expression" dxfId="106" priority="117">
      <formula>$E408=15</formula>
    </cfRule>
    <cfRule type="expression" dxfId="105" priority="118">
      <formula>$E408=14</formula>
    </cfRule>
    <cfRule type="expression" dxfId="104" priority="119">
      <formula>$E408=13</formula>
    </cfRule>
    <cfRule type="expression" dxfId="103" priority="120">
      <formula>$E408=12</formula>
    </cfRule>
  </conditionalFormatting>
  <conditionalFormatting sqref="L408:M408">
    <cfRule type="expression" dxfId="102" priority="104">
      <formula>$E408=10</formula>
    </cfRule>
    <cfRule type="expression" dxfId="101" priority="105">
      <formula>$E408=11</formula>
    </cfRule>
    <cfRule type="expression" dxfId="100" priority="106">
      <formula>$E408=18</formula>
    </cfRule>
    <cfRule type="expression" dxfId="99" priority="107">
      <formula>$E408=17</formula>
    </cfRule>
    <cfRule type="expression" dxfId="98" priority="108">
      <formula>$E408=16</formula>
    </cfRule>
    <cfRule type="expression" dxfId="97" priority="109">
      <formula>$E408=15</formula>
    </cfRule>
    <cfRule type="expression" dxfId="96" priority="110">
      <formula>$E408=14</formula>
    </cfRule>
    <cfRule type="expression" dxfId="95" priority="111">
      <formula>$E408=13</formula>
    </cfRule>
    <cfRule type="expression" dxfId="94" priority="112">
      <formula>$E408=12</formula>
    </cfRule>
  </conditionalFormatting>
  <conditionalFormatting sqref="K408">
    <cfRule type="expression" dxfId="93" priority="78">
      <formula>$E408=10</formula>
    </cfRule>
    <cfRule type="expression" dxfId="92" priority="79">
      <formula>$E408=11</formula>
    </cfRule>
    <cfRule type="expression" dxfId="91" priority="80">
      <formula>$E408=18</formula>
    </cfRule>
    <cfRule type="expression" dxfId="90" priority="81">
      <formula>$E408=17</formula>
    </cfRule>
    <cfRule type="expression" dxfId="89" priority="82">
      <formula>$E408=16</formula>
    </cfRule>
    <cfRule type="expression" dxfId="88" priority="83">
      <formula>$E408=15</formula>
    </cfRule>
    <cfRule type="expression" dxfId="87" priority="84">
      <formula>$E408=14</formula>
    </cfRule>
    <cfRule type="expression" dxfId="86" priority="85">
      <formula>$E408=13</formula>
    </cfRule>
    <cfRule type="expression" dxfId="85" priority="86">
      <formula>$E408=12</formula>
    </cfRule>
  </conditionalFormatting>
  <conditionalFormatting sqref="K408">
    <cfRule type="expression" dxfId="84" priority="96">
      <formula>$E408&lt;12</formula>
    </cfRule>
    <cfRule type="expression" dxfId="83" priority="97">
      <formula>$E408=18</formula>
    </cfRule>
    <cfRule type="expression" dxfId="82" priority="98">
      <formula>$E408=17</formula>
    </cfRule>
    <cfRule type="expression" dxfId="81" priority="99">
      <formula>$E408=16</formula>
    </cfRule>
    <cfRule type="expression" dxfId="80" priority="100">
      <formula>$E408=15</formula>
    </cfRule>
    <cfRule type="expression" dxfId="79" priority="101">
      <formula>$E408=14</formula>
    </cfRule>
    <cfRule type="expression" dxfId="78" priority="102">
      <formula>$E408=13</formula>
    </cfRule>
    <cfRule type="expression" dxfId="77" priority="103">
      <formula>$E408=12</formula>
    </cfRule>
  </conditionalFormatting>
  <conditionalFormatting sqref="K408">
    <cfRule type="expression" dxfId="76" priority="87">
      <formula>$E408=10</formula>
    </cfRule>
    <cfRule type="expression" dxfId="75" priority="88">
      <formula>$E408=11</formula>
    </cfRule>
    <cfRule type="expression" dxfId="74" priority="89">
      <formula>$E408=18</formula>
    </cfRule>
    <cfRule type="expression" dxfId="73" priority="90">
      <formula>$E408=17</formula>
    </cfRule>
    <cfRule type="expression" dxfId="72" priority="91">
      <formula>$E408=16</formula>
    </cfRule>
    <cfRule type="expression" dxfId="71" priority="92">
      <formula>$E408=15</formula>
    </cfRule>
    <cfRule type="expression" dxfId="70" priority="93">
      <formula>$E408=14</formula>
    </cfRule>
    <cfRule type="expression" dxfId="69" priority="94">
      <formula>$E408=13</formula>
    </cfRule>
    <cfRule type="expression" dxfId="68" priority="95">
      <formula>$E408=12</formula>
    </cfRule>
  </conditionalFormatting>
  <conditionalFormatting sqref="AJ411:XFD424 G411:J424 N411:AG424">
    <cfRule type="expression" dxfId="67" priority="70">
      <formula>$E411&lt;12</formula>
    </cfRule>
    <cfRule type="expression" dxfId="66" priority="71">
      <formula>$E411=18</formula>
    </cfRule>
    <cfRule type="expression" dxfId="65" priority="72">
      <formula>$E411=17</formula>
    </cfRule>
    <cfRule type="expression" dxfId="64" priority="73">
      <formula>$E411=16</formula>
    </cfRule>
    <cfRule type="expression" dxfId="63" priority="74">
      <formula>$E411=15</formula>
    </cfRule>
    <cfRule type="expression" dxfId="62" priority="75">
      <formula>$E411=14</formula>
    </cfRule>
    <cfRule type="expression" dxfId="61" priority="76">
      <formula>$E411=13</formula>
    </cfRule>
    <cfRule type="expression" dxfId="60" priority="77">
      <formula>$E411=12</formula>
    </cfRule>
  </conditionalFormatting>
  <conditionalFormatting sqref="AJ411:XFD424 G411:J424 N411:AG424">
    <cfRule type="expression" dxfId="59" priority="61">
      <formula>$E411=10</formula>
    </cfRule>
    <cfRule type="expression" dxfId="58" priority="62">
      <formula>$E411=11</formula>
    </cfRule>
    <cfRule type="expression" dxfId="57" priority="63">
      <formula>$E411=18</formula>
    </cfRule>
    <cfRule type="expression" dxfId="56" priority="64">
      <formula>$E411=17</formula>
    </cfRule>
    <cfRule type="expression" dxfId="55" priority="65">
      <formula>$E411=16</formula>
    </cfRule>
    <cfRule type="expression" dxfId="54" priority="66">
      <formula>$E411=15</formula>
    </cfRule>
    <cfRule type="expression" dxfId="53" priority="67">
      <formula>$E411=14</formula>
    </cfRule>
    <cfRule type="expression" dxfId="52" priority="68">
      <formula>$E411=13</formula>
    </cfRule>
    <cfRule type="expression" dxfId="51" priority="69">
      <formula>$E411=12</formula>
    </cfRule>
  </conditionalFormatting>
  <conditionalFormatting sqref="A411:F424">
    <cfRule type="expression" dxfId="50" priority="53">
      <formula>$E411&lt;12</formula>
    </cfRule>
    <cfRule type="expression" dxfId="49" priority="54">
      <formula>$E411=18</formula>
    </cfRule>
    <cfRule type="expression" dxfId="48" priority="55">
      <formula>$E411=17</formula>
    </cfRule>
    <cfRule type="expression" dxfId="47" priority="56">
      <formula>$E411=16</formula>
    </cfRule>
    <cfRule type="expression" dxfId="46" priority="57">
      <formula>$E411=15</formula>
    </cfRule>
    <cfRule type="expression" dxfId="45" priority="58">
      <formula>$E411=14</formula>
    </cfRule>
    <cfRule type="expression" dxfId="44" priority="59">
      <formula>$E411=13</formula>
    </cfRule>
    <cfRule type="expression" dxfId="43" priority="60">
      <formula>$E411=12</formula>
    </cfRule>
  </conditionalFormatting>
  <conditionalFormatting sqref="A411:F424">
    <cfRule type="expression" dxfId="42" priority="44">
      <formula>$E411=10</formula>
    </cfRule>
    <cfRule type="expression" dxfId="41" priority="45">
      <formula>$E411=11</formula>
    </cfRule>
    <cfRule type="expression" dxfId="40" priority="46">
      <formula>$E411=18</formula>
    </cfRule>
    <cfRule type="expression" dxfId="39" priority="47">
      <formula>$E411=17</formula>
    </cfRule>
    <cfRule type="expression" dxfId="38" priority="48">
      <formula>$E411=16</formula>
    </cfRule>
    <cfRule type="expression" dxfId="37" priority="49">
      <formula>$E411=15</formula>
    </cfRule>
    <cfRule type="expression" dxfId="36" priority="50">
      <formula>$E411=14</formula>
    </cfRule>
    <cfRule type="expression" dxfId="35" priority="51">
      <formula>$E411=13</formula>
    </cfRule>
    <cfRule type="expression" dxfId="34" priority="52">
      <formula>$E411=12</formula>
    </cfRule>
  </conditionalFormatting>
  <conditionalFormatting sqref="L411:M424">
    <cfRule type="expression" dxfId="33" priority="36">
      <formula>$E411&lt;12</formula>
    </cfRule>
    <cfRule type="expression" dxfId="32" priority="37">
      <formula>$E411=18</formula>
    </cfRule>
    <cfRule type="expression" dxfId="31" priority="38">
      <formula>$E411=17</formula>
    </cfRule>
    <cfRule type="expression" dxfId="30" priority="39">
      <formula>$E411=16</formula>
    </cfRule>
    <cfRule type="expression" dxfId="29" priority="40">
      <formula>$E411=15</formula>
    </cfRule>
    <cfRule type="expression" dxfId="28" priority="41">
      <formula>$E411=14</formula>
    </cfRule>
    <cfRule type="expression" dxfId="27" priority="42">
      <formula>$E411=13</formula>
    </cfRule>
    <cfRule type="expression" dxfId="26" priority="43">
      <formula>$E411=12</formula>
    </cfRule>
  </conditionalFormatting>
  <conditionalFormatting sqref="L411:M424">
    <cfRule type="expression" dxfId="25" priority="27">
      <formula>$E411=10</formula>
    </cfRule>
    <cfRule type="expression" dxfId="24" priority="28">
      <formula>$E411=11</formula>
    </cfRule>
    <cfRule type="expression" dxfId="23" priority="29">
      <formula>$E411=18</formula>
    </cfRule>
    <cfRule type="expression" dxfId="22" priority="30">
      <formula>$E411=17</formula>
    </cfRule>
    <cfRule type="expression" dxfId="21" priority="31">
      <formula>$E411=16</formula>
    </cfRule>
    <cfRule type="expression" dxfId="20" priority="32">
      <formula>$E411=15</formula>
    </cfRule>
    <cfRule type="expression" dxfId="19" priority="33">
      <formula>$E411=14</formula>
    </cfRule>
    <cfRule type="expression" dxfId="18" priority="34">
      <formula>$E411=13</formula>
    </cfRule>
    <cfRule type="expression" dxfId="17" priority="35">
      <formula>$E411=12</formula>
    </cfRule>
  </conditionalFormatting>
  <conditionalFormatting sqref="K411:K424">
    <cfRule type="expression" dxfId="16" priority="19">
      <formula>$E411&lt;12</formula>
    </cfRule>
    <cfRule type="expression" dxfId="15" priority="20">
      <formula>$E411=18</formula>
    </cfRule>
    <cfRule type="expression" dxfId="14" priority="21">
      <formula>$E411=17</formula>
    </cfRule>
    <cfRule type="expression" dxfId="13" priority="22">
      <formula>$E411=16</formula>
    </cfRule>
    <cfRule type="expression" dxfId="12" priority="23">
      <formula>$E411=15</formula>
    </cfRule>
    <cfRule type="expression" dxfId="11" priority="24">
      <formula>$E411=14</formula>
    </cfRule>
    <cfRule type="expression" dxfId="10" priority="25">
      <formula>$E411=13</formula>
    </cfRule>
    <cfRule type="expression" dxfId="9" priority="26">
      <formula>$E411=12</formula>
    </cfRule>
  </conditionalFormatting>
  <conditionalFormatting sqref="K411:K424">
    <cfRule type="expression" dxfId="8" priority="10">
      <formula>$E411=10</formula>
    </cfRule>
    <cfRule type="expression" dxfId="7" priority="11">
      <formula>$E411=11</formula>
    </cfRule>
    <cfRule type="expression" dxfId="6" priority="12">
      <formula>$E411=18</formula>
    </cfRule>
    <cfRule type="expression" dxfId="5" priority="13">
      <formula>$E411=17</formula>
    </cfRule>
    <cfRule type="expression" dxfId="4" priority="14">
      <formula>$E411=16</formula>
    </cfRule>
    <cfRule type="expression" dxfId="3" priority="15">
      <formula>$E411=15</formula>
    </cfRule>
    <cfRule type="expression" dxfId="2" priority="16">
      <formula>$E411=14</formula>
    </cfRule>
    <cfRule type="expression" dxfId="1" priority="17">
      <formula>$E411=13</formula>
    </cfRule>
    <cfRule type="expression" dxfId="0" priority="18">
      <formula>$E411=12</formula>
    </cfRule>
  </conditionalFormatting>
  <hyperlinks>
    <hyperlink ref="I267" r:id="rId1" display="https://aes1.advancedeventsystems.com/Event/Volleyball/EventTeamInfo.aspx?ZCruShzPjMGv6cuivzEZ3bdHnxan7utPe-38b2URl8mzU62jttSjG3kENzzLrFO5DJ2gC4tYCpITNOPe7kWQLp22OSbVlCGBuLUYcUJcvMs1mfXaIumiL4opmJlO0to2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AM r2</vt:lpstr>
      <vt:lpstr>AM r1</vt:lpstr>
      <vt:lpstr>PM r2</vt:lpstr>
      <vt:lpstr>PM r1</vt:lpstr>
      <vt:lpstr>RatingResultsSummary</vt:lpstr>
      <vt:lpstr>Initial</vt:lpstr>
      <vt:lpstr>Final</vt:lpstr>
      <vt:lpstr>Final-PM</vt:lpstr>
      <vt:lpstr>'AM r1'!Print_Area</vt:lpstr>
      <vt:lpstr>'AM r2'!Print_Area</vt:lpstr>
      <vt:lpstr>'PM r1'!Print_Area</vt:lpstr>
      <vt:lpstr>'PM r2'!Print_Area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</dc:creator>
  <cp:lastModifiedBy>email</cp:lastModifiedBy>
  <dcterms:created xsi:type="dcterms:W3CDTF">2017-02-05T16:06:50Z</dcterms:created>
  <dcterms:modified xsi:type="dcterms:W3CDTF">2018-02-09T03:39:02Z</dcterms:modified>
</cp:coreProperties>
</file>